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codeName="ThisWorkbook" defaultThemeVersion="166925"/>
  <mc:AlternateContent xmlns:mc="http://schemas.openxmlformats.org/markup-compatibility/2006">
    <mc:Choice Requires="x15">
      <x15ac:absPath xmlns:x15ac="http://schemas.microsoft.com/office/spreadsheetml/2010/11/ac" url="/Users/davidwhetter/Documents/CSS/Compensation/2024 Compensation/Final/"/>
    </mc:Choice>
  </mc:AlternateContent>
  <xr:revisionPtr revIDLastSave="0" documentId="13_ncr:1_{E34F058E-DCF9-DA4D-8066-C5C2B8824590}" xr6:coauthVersionLast="47" xr6:coauthVersionMax="47" xr10:uidLastSave="{00000000-0000-0000-0000-000000000000}"/>
  <workbookProtection lockStructure="1"/>
  <bookViews>
    <workbookView xWindow="0" yWindow="500" windowWidth="28800" windowHeight="15880" tabRatio="853" xr2:uid="{00000000-000D-0000-FFFF-FFFF00000000}"/>
  </bookViews>
  <sheets>
    <sheet name="Ministry Leader" sheetId="11" r:id="rId1"/>
    <sheet name="Payroll + W-2" sheetId="12" r:id="rId2"/>
    <sheet name="Reference Values" sheetId="10" r:id="rId3"/>
  </sheets>
  <definedNames>
    <definedName name="_xlnm.Print_Area" localSheetId="0">'Ministry Leader'!$A$1:$E$32,'Ministry Leader'!$A$34:$E$73</definedName>
    <definedName name="_xlnm.Print_Area" localSheetId="1">'Payroll + W-2'!$A$2:$Q$58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1" l="1"/>
  <c r="I7" i="10"/>
  <c r="E22" i="11" l="1"/>
  <c r="A1" i="11"/>
  <c r="C19" i="12" l="1"/>
  <c r="C20" i="12"/>
  <c r="I20" i="10"/>
  <c r="I5" i="10"/>
  <c r="C21" i="12"/>
  <c r="C22" i="12"/>
  <c r="B13" i="12"/>
  <c r="C13" i="12" s="1"/>
  <c r="B17" i="12"/>
  <c r="B18" i="12"/>
  <c r="E48" i="10"/>
  <c r="E47" i="10"/>
  <c r="E46" i="10"/>
  <c r="E45" i="10"/>
  <c r="E44" i="10"/>
  <c r="E43" i="10"/>
  <c r="E42" i="10"/>
  <c r="E41" i="10"/>
  <c r="E40" i="10"/>
  <c r="E39" i="10"/>
  <c r="J20" i="10" s="1"/>
  <c r="E38" i="10"/>
  <c r="E37" i="10"/>
  <c r="O19" i="12" l="1"/>
  <c r="B8" i="12"/>
  <c r="C8" i="12" s="1"/>
  <c r="O18" i="12" l="1"/>
  <c r="K22" i="12"/>
  <c r="C71" i="11" l="1"/>
  <c r="I37" i="10"/>
  <c r="I36" i="10"/>
  <c r="E26" i="11" l="1"/>
  <c r="E25" i="11"/>
  <c r="E29" i="11" s="1"/>
  <c r="E38" i="11"/>
  <c r="E50" i="11"/>
  <c r="Q8" i="10"/>
  <c r="Q10" i="10"/>
  <c r="L6" i="10"/>
  <c r="L7" i="10" s="1"/>
  <c r="J5" i="10"/>
  <c r="I6" i="10"/>
  <c r="E7" i="10"/>
  <c r="E8" i="10" s="1"/>
  <c r="D7" i="10"/>
  <c r="F7" i="10" l="1"/>
  <c r="G7" i="10"/>
  <c r="E30" i="11"/>
  <c r="D8" i="10"/>
  <c r="G8" i="10" s="1"/>
  <c r="E9" i="10"/>
  <c r="E10" i="10" s="1"/>
  <c r="E11" i="10" s="1"/>
  <c r="E12" i="10" s="1"/>
  <c r="E13" i="10" s="1"/>
  <c r="E14" i="10" s="1"/>
  <c r="E15" i="10" s="1"/>
  <c r="E16" i="10" s="1"/>
  <c r="E17" i="10" s="1"/>
  <c r="E18" i="10" s="1"/>
  <c r="E19" i="10" s="1"/>
  <c r="E20" i="10" s="1"/>
  <c r="E21" i="10" s="1"/>
  <c r="E22" i="10" s="1"/>
  <c r="E23" i="10" s="1"/>
  <c r="E24" i="10" s="1"/>
  <c r="E25" i="10" s="1"/>
  <c r="L8" i="10"/>
  <c r="J7" i="10" l="1"/>
  <c r="L9" i="10"/>
  <c r="F8" i="10"/>
  <c r="D9" i="10"/>
  <c r="G9" i="10" s="1"/>
  <c r="G26" i="10" s="1"/>
  <c r="D72" i="11"/>
  <c r="B71" i="11"/>
  <c r="J6" i="10" l="1"/>
  <c r="J37" i="10" s="1"/>
  <c r="L10" i="10"/>
  <c r="D10" i="10"/>
  <c r="G10" i="10" s="1"/>
  <c r="F9" i="10"/>
  <c r="E32" i="11"/>
  <c r="J36" i="10" l="1"/>
  <c r="M6" i="10" s="1"/>
  <c r="J18" i="10"/>
  <c r="J19" i="10" s="1"/>
  <c r="I47" i="10" s="1"/>
  <c r="C12" i="11" s="1"/>
  <c r="E13" i="11"/>
  <c r="E16" i="11" s="1"/>
  <c r="L11" i="10"/>
  <c r="D11" i="10"/>
  <c r="G11" i="10" s="1"/>
  <c r="F10" i="10"/>
  <c r="J38" i="10" l="1"/>
  <c r="M7" i="10" s="1"/>
  <c r="N6" i="10"/>
  <c r="L12" i="10"/>
  <c r="D12" i="10"/>
  <c r="G12" i="10" s="1"/>
  <c r="F11" i="10"/>
  <c r="E15" i="11"/>
  <c r="N7" i="10" l="1"/>
  <c r="M8" i="10"/>
  <c r="M9" i="10" s="1"/>
  <c r="L13" i="10"/>
  <c r="D13" i="10"/>
  <c r="G13" i="10" s="1"/>
  <c r="F12" i="10"/>
  <c r="E35" i="11"/>
  <c r="N8" i="10" l="1"/>
  <c r="N9" i="10" s="1"/>
  <c r="M10" i="10"/>
  <c r="L14" i="10"/>
  <c r="D14" i="10"/>
  <c r="G14" i="10" s="1"/>
  <c r="F13" i="10"/>
  <c r="N10" i="10" l="1"/>
  <c r="M11" i="10"/>
  <c r="L15" i="10"/>
  <c r="D15" i="10"/>
  <c r="G15" i="10" s="1"/>
  <c r="F14" i="10"/>
  <c r="N11" i="10" l="1"/>
  <c r="M12" i="10"/>
  <c r="L16" i="10"/>
  <c r="D16" i="10"/>
  <c r="G16" i="10" s="1"/>
  <c r="F15" i="10"/>
  <c r="N12" i="10" l="1"/>
  <c r="M13" i="10"/>
  <c r="L17" i="10"/>
  <c r="D17" i="10"/>
  <c r="G17" i="10" s="1"/>
  <c r="F16" i="10"/>
  <c r="N13" i="10" l="1"/>
  <c r="M14" i="10"/>
  <c r="L18" i="10"/>
  <c r="D18" i="10"/>
  <c r="G18" i="10" s="1"/>
  <c r="F17" i="10"/>
  <c r="N14" i="10" l="1"/>
  <c r="M15" i="10"/>
  <c r="L19" i="10"/>
  <c r="D19" i="10"/>
  <c r="G19" i="10" s="1"/>
  <c r="F18" i="10"/>
  <c r="N15" i="10" l="1"/>
  <c r="M16" i="10"/>
  <c r="L20" i="10"/>
  <c r="D20" i="10"/>
  <c r="G20" i="10" s="1"/>
  <c r="F19" i="10"/>
  <c r="N16" i="10" l="1"/>
  <c r="M17" i="10"/>
  <c r="L21" i="10"/>
  <c r="D21" i="10"/>
  <c r="G21" i="10" s="1"/>
  <c r="F20" i="10"/>
  <c r="N17" i="10" l="1"/>
  <c r="M18" i="10"/>
  <c r="L22" i="10"/>
  <c r="F21" i="10"/>
  <c r="D22" i="10"/>
  <c r="G22" i="10" s="1"/>
  <c r="N18" i="10" l="1"/>
  <c r="M19" i="10"/>
  <c r="L23" i="10"/>
  <c r="D23" i="10"/>
  <c r="G23" i="10" s="1"/>
  <c r="F22" i="10"/>
  <c r="N19" i="10" l="1"/>
  <c r="M20" i="10"/>
  <c r="L24" i="10"/>
  <c r="D24" i="10"/>
  <c r="G24" i="10" s="1"/>
  <c r="F23" i="10"/>
  <c r="N20" i="10" l="1"/>
  <c r="M21" i="10"/>
  <c r="L25" i="10"/>
  <c r="F24" i="10"/>
  <c r="D25" i="10"/>
  <c r="G25" i="10" s="1"/>
  <c r="N21" i="10" l="1"/>
  <c r="M22" i="10"/>
  <c r="L26" i="10"/>
  <c r="F25" i="10"/>
  <c r="N22" i="10" l="1"/>
  <c r="M23" i="10"/>
  <c r="L27" i="10"/>
  <c r="N23" i="10" l="1"/>
  <c r="M24" i="10"/>
  <c r="L28" i="10"/>
  <c r="N24" i="10" l="1"/>
  <c r="M25" i="10"/>
  <c r="L29" i="10"/>
  <c r="N25" i="10" l="1"/>
  <c r="M26" i="10"/>
  <c r="L30" i="10"/>
  <c r="N26" i="10" l="1"/>
  <c r="M27" i="10"/>
  <c r="L31" i="10"/>
  <c r="N27" i="10" l="1"/>
  <c r="M28" i="10"/>
  <c r="L32" i="10"/>
  <c r="N28" i="10" l="1"/>
  <c r="M29" i="10"/>
  <c r="L33" i="10"/>
  <c r="N29" i="10" l="1"/>
  <c r="M30" i="10"/>
  <c r="L34" i="10"/>
  <c r="N30" i="10" l="1"/>
  <c r="M31" i="10"/>
  <c r="L35" i="10"/>
  <c r="N31" i="10" l="1"/>
  <c r="M32" i="10"/>
  <c r="L36" i="10"/>
  <c r="N32" i="10" l="1"/>
  <c r="M33" i="10"/>
  <c r="L37" i="10"/>
  <c r="N33" i="10" l="1"/>
  <c r="M34" i="10"/>
  <c r="L38" i="10"/>
  <c r="N34" i="10" l="1"/>
  <c r="M35" i="10"/>
  <c r="L39" i="10"/>
  <c r="N35" i="10" l="1"/>
  <c r="M36" i="10"/>
  <c r="L40" i="10"/>
  <c r="N36" i="10" l="1"/>
  <c r="M37" i="10"/>
  <c r="L41" i="10"/>
  <c r="N37" i="10" l="1"/>
  <c r="M38" i="10"/>
  <c r="M39" i="10" s="1"/>
  <c r="L42" i="10"/>
  <c r="N38" i="10" l="1"/>
  <c r="L43" i="10"/>
  <c r="N39" i="10" l="1"/>
  <c r="M40" i="10"/>
  <c r="L44" i="10"/>
  <c r="N40" i="10" l="1"/>
  <c r="M41" i="10"/>
  <c r="L45" i="10"/>
  <c r="N41" i="10" l="1"/>
  <c r="M42" i="10"/>
  <c r="L46" i="10"/>
  <c r="N42" i="10" l="1"/>
  <c r="M43" i="10"/>
  <c r="L47" i="10"/>
  <c r="N43" i="10" l="1"/>
  <c r="M44" i="10"/>
  <c r="L48" i="10"/>
  <c r="N44" i="10" l="1"/>
  <c r="M45" i="10"/>
  <c r="L49" i="10"/>
  <c r="N45" i="10" l="1"/>
  <c r="M46" i="10"/>
  <c r="L50" i="10"/>
  <c r="N46" i="10" l="1"/>
  <c r="M47" i="10"/>
  <c r="L51" i="10"/>
  <c r="N47" i="10" l="1"/>
  <c r="M48" i="10"/>
  <c r="L52" i="10"/>
  <c r="N48" i="10" l="1"/>
  <c r="M49" i="10"/>
  <c r="L53" i="10"/>
  <c r="N49" i="10" l="1"/>
  <c r="M50" i="10"/>
  <c r="L54" i="10"/>
  <c r="N50" i="10" l="1"/>
  <c r="M51" i="10"/>
  <c r="L55" i="10"/>
  <c r="N51" i="10" l="1"/>
  <c r="M52" i="10"/>
  <c r="L56" i="10"/>
  <c r="M55" i="10"/>
  <c r="N52" i="10" l="1"/>
  <c r="M53" i="10"/>
  <c r="L57" i="10"/>
  <c r="M56" i="10"/>
  <c r="N53" i="10" l="1"/>
  <c r="M54" i="10"/>
  <c r="M57" i="10"/>
  <c r="L58" i="10"/>
  <c r="N54" i="10" l="1"/>
  <c r="N55" i="10" s="1"/>
  <c r="M58" i="10"/>
  <c r="L59" i="10"/>
  <c r="N56" i="10" l="1"/>
  <c r="N57" i="10" s="1"/>
  <c r="N58" i="10" s="1"/>
  <c r="L60" i="10"/>
  <c r="M59" i="10"/>
  <c r="N59" i="10" l="1"/>
  <c r="L61" i="10"/>
  <c r="M60" i="10"/>
  <c r="N60" i="10" l="1"/>
  <c r="M61" i="10"/>
  <c r="L62" i="10"/>
  <c r="N61" i="10" l="1"/>
  <c r="M62" i="10"/>
  <c r="L63" i="10"/>
  <c r="N62" i="10" l="1"/>
  <c r="L64" i="10"/>
  <c r="M63" i="10"/>
  <c r="N63" i="10" l="1"/>
  <c r="L65" i="10"/>
  <c r="M64" i="10"/>
  <c r="N64" i="10" l="1"/>
  <c r="M65" i="10"/>
  <c r="L66" i="10"/>
  <c r="N65" i="10" l="1"/>
  <c r="M66" i="10"/>
  <c r="L67" i="10"/>
  <c r="N66" i="10" l="1"/>
  <c r="L68" i="10"/>
  <c r="M67" i="10"/>
  <c r="N67" i="10" l="1"/>
  <c r="L69" i="10"/>
  <c r="M68" i="10"/>
  <c r="N68" i="10" l="1"/>
  <c r="M69" i="10"/>
  <c r="L70" i="10"/>
  <c r="N69" i="10" l="1"/>
  <c r="M70" i="10"/>
  <c r="L71" i="10"/>
  <c r="N70" i="10" l="1"/>
  <c r="L72" i="10"/>
  <c r="M71" i="10"/>
  <c r="N71" i="10" l="1"/>
  <c r="L73" i="10"/>
  <c r="M72" i="10"/>
  <c r="N72" i="10" l="1"/>
  <c r="M73" i="10"/>
  <c r="L74" i="10"/>
  <c r="N73" i="10" l="1"/>
  <c r="M74" i="10"/>
  <c r="L75" i="10"/>
  <c r="N74" i="10" l="1"/>
  <c r="L76" i="10"/>
  <c r="M75" i="10"/>
  <c r="N75" i="10" l="1"/>
  <c r="L77" i="10"/>
  <c r="M76" i="10"/>
  <c r="N76" i="10" l="1"/>
  <c r="M77" i="10"/>
  <c r="L78" i="10"/>
  <c r="N77" i="10" l="1"/>
  <c r="M78" i="10"/>
  <c r="N78" i="10" s="1"/>
  <c r="L79" i="10"/>
  <c r="L80" i="10" l="1"/>
  <c r="M79" i="10"/>
  <c r="N79" i="10" s="1"/>
  <c r="L81" i="10" l="1"/>
  <c r="M80" i="10"/>
  <c r="N80" i="10" s="1"/>
  <c r="M81" i="10" l="1"/>
  <c r="N81" i="10" s="1"/>
  <c r="L82" i="10"/>
  <c r="L83" i="10" l="1"/>
  <c r="M82" i="10"/>
  <c r="N82" i="10" s="1"/>
  <c r="L84" i="10" l="1"/>
  <c r="M83" i="10"/>
  <c r="N83" i="10" s="1"/>
  <c r="L85" i="10" l="1"/>
  <c r="M84" i="10"/>
  <c r="N84" i="10" s="1"/>
  <c r="M85" i="10" l="1"/>
  <c r="N85" i="10" s="1"/>
  <c r="L86" i="10"/>
  <c r="M86" i="10" l="1"/>
  <c r="N86" i="10" s="1"/>
  <c r="L87" i="10"/>
  <c r="L88" i="10" l="1"/>
  <c r="M87" i="10"/>
  <c r="N87" i="10" s="1"/>
  <c r="L89" i="10" l="1"/>
  <c r="M88" i="10"/>
  <c r="N88" i="10" s="1"/>
  <c r="M89" i="10" l="1"/>
  <c r="N89" i="10" s="1"/>
  <c r="L90" i="10"/>
  <c r="L91" i="10" l="1"/>
  <c r="M90" i="10"/>
  <c r="N90" i="10" s="1"/>
  <c r="L92" i="10" l="1"/>
  <c r="M91" i="10"/>
  <c r="N91" i="10" s="1"/>
  <c r="L93" i="10" l="1"/>
  <c r="M92" i="10"/>
  <c r="N92" i="10" s="1"/>
  <c r="M93" i="10" l="1"/>
  <c r="N93" i="10" s="1"/>
  <c r="L94" i="10"/>
  <c r="M94" i="10" l="1"/>
  <c r="N94" i="10" s="1"/>
  <c r="L95" i="10"/>
  <c r="L96" i="10" l="1"/>
  <c r="M95" i="10"/>
  <c r="N95" i="10" s="1"/>
  <c r="L97" i="10" l="1"/>
  <c r="M96" i="10"/>
  <c r="N96" i="10" s="1"/>
  <c r="M97" i="10" l="1"/>
  <c r="N97" i="10" s="1"/>
  <c r="L98" i="10"/>
  <c r="M98" i="10" l="1"/>
  <c r="N98" i="10" s="1"/>
  <c r="L99" i="10"/>
  <c r="L100" i="10" l="1"/>
  <c r="M99" i="10"/>
  <c r="N99" i="10" s="1"/>
  <c r="L101" i="10" l="1"/>
  <c r="M100" i="10"/>
  <c r="N100" i="10" s="1"/>
  <c r="M101" i="10" l="1"/>
  <c r="N101" i="10" s="1"/>
  <c r="L102" i="10"/>
  <c r="M102" i="10" l="1"/>
  <c r="N102" i="10" s="1"/>
  <c r="L103" i="10"/>
  <c r="L104" i="10" l="1"/>
  <c r="M103" i="10"/>
  <c r="N103" i="10" s="1"/>
  <c r="L105" i="10" l="1"/>
  <c r="E31" i="11" s="1"/>
  <c r="M104" i="10"/>
  <c r="N104" i="10" s="1"/>
  <c r="M105" i="10" l="1"/>
  <c r="N105" i="10" s="1"/>
  <c r="L106" i="10"/>
  <c r="E39" i="11"/>
  <c r="J31" i="10" s="1"/>
  <c r="M106" i="10" l="1"/>
  <c r="N106" i="10" s="1"/>
  <c r="L107" i="10"/>
  <c r="E36" i="11"/>
  <c r="E40" i="11" s="1"/>
  <c r="E42" i="11" l="1"/>
  <c r="L108" i="10"/>
  <c r="M107" i="10"/>
  <c r="N107" i="10" s="1"/>
  <c r="E45" i="11" l="1"/>
  <c r="E46" i="11" s="1"/>
  <c r="E56" i="11"/>
  <c r="E63" i="11" s="1"/>
  <c r="E65" i="11" s="1"/>
  <c r="E55" i="11"/>
  <c r="E43" i="11"/>
  <c r="L109" i="10"/>
  <c r="M108" i="10"/>
  <c r="N108" i="10" s="1"/>
  <c r="E44" i="11" l="1"/>
  <c r="E54" i="11"/>
  <c r="B9" i="12" s="1"/>
  <c r="C9" i="12" s="1"/>
  <c r="B10" i="12"/>
  <c r="M109" i="10"/>
  <c r="N109" i="10" s="1"/>
  <c r="L110" i="10"/>
  <c r="B72" i="11"/>
  <c r="B28" i="12" l="1"/>
  <c r="C28" i="12" s="1"/>
  <c r="J7" i="12"/>
  <c r="I24" i="12" s="1"/>
  <c r="L24" i="12" s="1"/>
  <c r="E57" i="11"/>
  <c r="M110" i="10"/>
  <c r="N110" i="10" s="1"/>
  <c r="L111" i="10"/>
  <c r="L112" i="10" l="1"/>
  <c r="M111" i="10"/>
  <c r="N111" i="10" s="1"/>
  <c r="L113" i="10" l="1"/>
  <c r="M112" i="10"/>
  <c r="N112" i="10" s="1"/>
  <c r="M113" i="10" l="1"/>
  <c r="N113" i="10" s="1"/>
  <c r="L114" i="10"/>
  <c r="M114" i="10" l="1"/>
  <c r="N114" i="10" s="1"/>
  <c r="L115" i="10"/>
  <c r="L116" i="10" l="1"/>
  <c r="M115" i="10"/>
  <c r="N115" i="10" s="1"/>
  <c r="L117" i="10" l="1"/>
  <c r="M116" i="10"/>
  <c r="N116" i="10" s="1"/>
  <c r="M117" i="10" l="1"/>
  <c r="N117" i="10" s="1"/>
  <c r="L118" i="10"/>
  <c r="M118" i="10" l="1"/>
  <c r="N118" i="10" s="1"/>
  <c r="L119" i="10"/>
  <c r="L120" i="10" l="1"/>
  <c r="M119" i="10"/>
  <c r="N119" i="10" s="1"/>
  <c r="L121" i="10" l="1"/>
  <c r="M120" i="10"/>
  <c r="N120" i="10" s="1"/>
  <c r="M121" i="10" l="1"/>
  <c r="N121" i="10" s="1"/>
  <c r="L122" i="10"/>
  <c r="M122" i="10" l="1"/>
  <c r="N122" i="10" s="1"/>
  <c r="L123" i="10"/>
  <c r="L124" i="10" l="1"/>
  <c r="M123" i="10"/>
  <c r="N123" i="10" s="1"/>
  <c r="L125" i="10" l="1"/>
  <c r="M124" i="10"/>
  <c r="N124" i="10" s="1"/>
  <c r="M125" i="10" l="1"/>
  <c r="N125" i="10" s="1"/>
  <c r="L126" i="10"/>
  <c r="M126" i="10" l="1"/>
  <c r="N126" i="10" s="1"/>
  <c r="L127" i="10"/>
  <c r="L128" i="10" l="1"/>
  <c r="M127" i="10"/>
  <c r="N127" i="10" s="1"/>
  <c r="L129" i="10" l="1"/>
  <c r="M128" i="10"/>
  <c r="N128" i="10" s="1"/>
  <c r="M129" i="10" l="1"/>
  <c r="N129" i="10" s="1"/>
  <c r="L130" i="10"/>
  <c r="M130" i="10" l="1"/>
  <c r="N130" i="10" s="1"/>
  <c r="L131" i="10"/>
  <c r="L132" i="10" l="1"/>
  <c r="M131" i="10"/>
  <c r="N131" i="10" s="1"/>
  <c r="L133" i="10" l="1"/>
  <c r="M132" i="10"/>
  <c r="N132" i="10" s="1"/>
  <c r="M133" i="10" l="1"/>
  <c r="N133" i="10" s="1"/>
  <c r="L134" i="10"/>
  <c r="L135" i="10" l="1"/>
  <c r="M134" i="10"/>
  <c r="N134" i="10" s="1"/>
  <c r="L136" i="10" l="1"/>
  <c r="M135" i="10"/>
  <c r="N135" i="10" s="1"/>
  <c r="L137" i="10" l="1"/>
  <c r="M136" i="10"/>
  <c r="N136" i="10" s="1"/>
  <c r="M137" i="10" l="1"/>
  <c r="N137" i="10" s="1"/>
  <c r="L138" i="10"/>
  <c r="M138" i="10" l="1"/>
  <c r="N138" i="10" s="1"/>
  <c r="L139" i="10"/>
  <c r="L140" i="10" l="1"/>
  <c r="M139" i="10"/>
  <c r="N139" i="10" s="1"/>
  <c r="L141" i="10" l="1"/>
  <c r="M140" i="10"/>
  <c r="N140" i="10" s="1"/>
  <c r="M141" i="10" l="1"/>
  <c r="N141" i="10" s="1"/>
  <c r="L142" i="10"/>
  <c r="L143" i="10" l="1"/>
  <c r="M142" i="10"/>
  <c r="N142" i="10" s="1"/>
  <c r="L144" i="10" l="1"/>
  <c r="M143" i="10"/>
  <c r="N143" i="10" s="1"/>
  <c r="L145" i="10" l="1"/>
  <c r="M144" i="10"/>
  <c r="N144" i="10" s="1"/>
  <c r="M145" i="10" l="1"/>
  <c r="N145" i="10" s="1"/>
  <c r="L146" i="10"/>
  <c r="M146" i="10" l="1"/>
  <c r="N146" i="10" s="1"/>
  <c r="L147" i="10"/>
  <c r="L148" i="10" l="1"/>
  <c r="M147" i="10"/>
  <c r="N147" i="10" s="1"/>
  <c r="L149" i="10" l="1"/>
  <c r="M148" i="10"/>
  <c r="N148" i="10" s="1"/>
  <c r="M149" i="10" l="1"/>
  <c r="N149" i="10" s="1"/>
  <c r="L150" i="10"/>
  <c r="M150" i="10" l="1"/>
  <c r="N150" i="10" s="1"/>
  <c r="L151" i="10"/>
  <c r="L152" i="10" l="1"/>
  <c r="M151" i="10"/>
  <c r="N151" i="10" s="1"/>
  <c r="L153" i="10" l="1"/>
  <c r="M152" i="10"/>
  <c r="N152" i="10" s="1"/>
  <c r="M153" i="10" l="1"/>
  <c r="N153" i="10" s="1"/>
  <c r="L154" i="10"/>
  <c r="M154" i="10" l="1"/>
  <c r="N154" i="10" s="1"/>
  <c r="L155" i="10"/>
  <c r="L156" i="10" l="1"/>
  <c r="M155" i="10"/>
  <c r="N155" i="10" s="1"/>
  <c r="L157" i="10" l="1"/>
  <c r="M156" i="10"/>
  <c r="N156" i="10" s="1"/>
  <c r="M157" i="10" l="1"/>
  <c r="N157" i="10" s="1"/>
  <c r="L158" i="10"/>
  <c r="M158" i="10" l="1"/>
  <c r="N158" i="10" s="1"/>
  <c r="L159" i="10"/>
  <c r="L160" i="10" l="1"/>
  <c r="M159" i="10"/>
  <c r="N159" i="10" s="1"/>
  <c r="L161" i="10" l="1"/>
  <c r="M160" i="10"/>
  <c r="N160" i="10" s="1"/>
  <c r="M161" i="10" l="1"/>
  <c r="N161" i="10" s="1"/>
  <c r="L162" i="10"/>
  <c r="L163" i="10" l="1"/>
  <c r="M162" i="10"/>
  <c r="N162" i="10" s="1"/>
  <c r="L164" i="10" l="1"/>
  <c r="M163" i="10"/>
  <c r="N163" i="10" s="1"/>
  <c r="L165" i="10" l="1"/>
  <c r="M164" i="10"/>
  <c r="N164" i="10" s="1"/>
  <c r="M165" i="10" l="1"/>
  <c r="N165" i="10" s="1"/>
  <c r="L166" i="10"/>
  <c r="M166" i="10" l="1"/>
  <c r="N166" i="10" s="1"/>
  <c r="L167" i="10"/>
  <c r="L168" i="10" l="1"/>
  <c r="M167" i="10"/>
  <c r="N167" i="10" s="1"/>
  <c r="L169" i="10" l="1"/>
  <c r="M168" i="10"/>
  <c r="N168" i="10" s="1"/>
  <c r="M169" i="10" l="1"/>
  <c r="N169" i="10" s="1"/>
  <c r="L170" i="10"/>
  <c r="M170" i="10" l="1"/>
  <c r="N170" i="10" s="1"/>
  <c r="L171" i="10"/>
  <c r="L172" i="10" l="1"/>
  <c r="M171" i="10"/>
  <c r="N171" i="10" s="1"/>
  <c r="L173" i="10" l="1"/>
  <c r="M172" i="10"/>
  <c r="N172" i="10" s="1"/>
  <c r="M173" i="10" l="1"/>
  <c r="N173" i="10" s="1"/>
  <c r="L174" i="10"/>
  <c r="M174" i="10" l="1"/>
  <c r="N174" i="10" s="1"/>
  <c r="L175" i="10"/>
  <c r="L176" i="10" l="1"/>
  <c r="M175" i="10"/>
  <c r="N175" i="10" s="1"/>
  <c r="L177" i="10" l="1"/>
  <c r="M176" i="10"/>
  <c r="N176" i="10" s="1"/>
  <c r="M177" i="10" l="1"/>
  <c r="N177" i="10" s="1"/>
  <c r="L178" i="10"/>
  <c r="M178" i="10" l="1"/>
  <c r="N178" i="10" s="1"/>
  <c r="L179" i="10"/>
  <c r="L180" i="10" l="1"/>
  <c r="M179" i="10"/>
  <c r="N179" i="10" s="1"/>
  <c r="L181" i="10" l="1"/>
  <c r="M180" i="10"/>
  <c r="N180" i="10" s="1"/>
  <c r="M181" i="10" l="1"/>
  <c r="N181" i="10" s="1"/>
  <c r="L182" i="10"/>
  <c r="M182" i="10" l="1"/>
  <c r="N182" i="10" s="1"/>
  <c r="L183" i="10"/>
  <c r="L184" i="10" l="1"/>
  <c r="M183" i="10"/>
  <c r="N183" i="10" s="1"/>
  <c r="L185" i="10" l="1"/>
  <c r="M184" i="10"/>
  <c r="N184" i="10" s="1"/>
  <c r="M185" i="10" l="1"/>
  <c r="N185" i="10" s="1"/>
  <c r="L186" i="10"/>
  <c r="M186" i="10" l="1"/>
  <c r="N186" i="10" s="1"/>
  <c r="L187" i="10"/>
  <c r="L188" i="10" l="1"/>
  <c r="M187" i="10"/>
  <c r="N187" i="10" s="1"/>
  <c r="L189" i="10" l="1"/>
  <c r="M188" i="10"/>
  <c r="N188" i="10" s="1"/>
  <c r="M189" i="10" l="1"/>
  <c r="N189" i="10" s="1"/>
  <c r="L190" i="10"/>
  <c r="M190" i="10" l="1"/>
  <c r="N190" i="10" s="1"/>
  <c r="L191" i="10"/>
  <c r="L192" i="10" l="1"/>
  <c r="M191" i="10"/>
  <c r="N191" i="10" s="1"/>
  <c r="L193" i="10" l="1"/>
  <c r="M192" i="10"/>
  <c r="N192" i="10" s="1"/>
  <c r="M193" i="10" l="1"/>
  <c r="N193" i="10" s="1"/>
  <c r="L194" i="10"/>
  <c r="M194" i="10" l="1"/>
  <c r="N194" i="10" s="1"/>
  <c r="L195" i="10"/>
  <c r="L196" i="10" l="1"/>
  <c r="M195" i="10"/>
  <c r="N195" i="10" s="1"/>
  <c r="L197" i="10" l="1"/>
  <c r="M196" i="10"/>
  <c r="N196" i="10" s="1"/>
  <c r="M197" i="10" l="1"/>
  <c r="N197" i="10" s="1"/>
  <c r="L198" i="10"/>
  <c r="L199" i="10" l="1"/>
  <c r="M198" i="10"/>
  <c r="N198" i="10" s="1"/>
  <c r="L200" i="10" l="1"/>
  <c r="M199" i="10"/>
  <c r="N199" i="10" s="1"/>
  <c r="L201" i="10" l="1"/>
  <c r="M200" i="10"/>
  <c r="N200" i="10" s="1"/>
  <c r="M201" i="10" l="1"/>
  <c r="N201" i="10" s="1"/>
  <c r="L202" i="10"/>
  <c r="L203" i="10" l="1"/>
  <c r="M202" i="10"/>
  <c r="N202" i="10" s="1"/>
  <c r="L204" i="10" l="1"/>
  <c r="M203" i="10"/>
  <c r="N203" i="10" s="1"/>
  <c r="L205" i="10" l="1"/>
  <c r="M205" i="10" s="1"/>
  <c r="M204" i="10"/>
  <c r="N204" i="10" s="1"/>
  <c r="N205"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tc={8E915DC6-EB60-455A-BABF-F8D7AD615854}</author>
    <author>tc={D9AC0EB3-4521-45B1-A65B-85647CFACA18}</author>
  </authors>
  <commentList>
    <comment ref="E5"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Previous year's baseline times the annual inflation rate.</t>
      </text>
    </comment>
    <comment ref="F5"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2021 baseline times the accrued inflation rate.</t>
      </text>
    </comment>
  </commentList>
</comments>
</file>

<file path=xl/sharedStrings.xml><?xml version="1.0" encoding="utf-8"?>
<sst xmlns="http://schemas.openxmlformats.org/spreadsheetml/2006/main" count="330" uniqueCount="285">
  <si>
    <t>DETERMINING BASELINE COMPENSATION</t>
  </si>
  <si>
    <t>BOX B:</t>
  </si>
  <si>
    <t>YEARS OF SERVICE</t>
  </si>
  <si>
    <t xml:space="preserve">BOX F: </t>
  </si>
  <si>
    <t>DEFINED COMPENSATION</t>
  </si>
  <si>
    <t>STEP 1</t>
  </si>
  <si>
    <t>LOCALIZED 
COST-OF-LIVING 
ADJUSTMENT</t>
  </si>
  <si>
    <t>STEP 2</t>
  </si>
  <si>
    <t xml:space="preserve">AMOUNT A: </t>
  </si>
  <si>
    <t>AMOUNT C:</t>
  </si>
  <si>
    <t>AMOUNT D:</t>
  </si>
  <si>
    <t>ADDITIONAL EDUCATION</t>
  </si>
  <si>
    <t xml:space="preserve">AMOUNT K: </t>
  </si>
  <si>
    <t>STEP 3</t>
  </si>
  <si>
    <t xml:space="preserve">Points are converted to a cash value on a sliding scale. </t>
  </si>
  <si>
    <t>AMOUNT L:</t>
  </si>
  <si>
    <t>PARSONAGE ADJUSTMENT</t>
  </si>
  <si>
    <t>Compensation is decreased if a parsonage is provided.</t>
  </si>
  <si>
    <t>TOTAL ADDITIONAL POINTS</t>
  </si>
  <si>
    <t>DETERMINING ADDITIONAL COMPENSATION</t>
  </si>
  <si>
    <t xml:space="preserve">AMOUNT L: </t>
  </si>
  <si>
    <t>MEDIAN:</t>
  </si>
  <si>
    <t>LOW:</t>
  </si>
  <si>
    <t>HIGH:</t>
  </si>
  <si>
    <t>RECOMMENDED COMPENSATION RANGE</t>
  </si>
  <si>
    <t>DETERMINING RECOMMENDED COMPENSATION</t>
  </si>
  <si>
    <t>STEP 4</t>
  </si>
  <si>
    <t>DETERMINING FINAL COMPENSATION</t>
  </si>
  <si>
    <t>NEGOTIATED COMPENSATION</t>
  </si>
  <si>
    <t>SOCIAL SECURITY EMPLOYER CONTRIBUTION ALLOWANCE (SECA)</t>
  </si>
  <si>
    <t>From Step 1</t>
  </si>
  <si>
    <t>From Step 2</t>
  </si>
  <si>
    <t>BASELINE</t>
  </si>
  <si>
    <t>ADJUSTED BASELINE</t>
  </si>
  <si>
    <t>This is the Adjusted Baseline plus the Total Additional Value</t>
  </si>
  <si>
    <t>TOTAL MEDIAN COMPENSATION</t>
  </si>
  <si>
    <t>[AMOUNT D = AMOUNT A + AMOUNT C.]</t>
  </si>
  <si>
    <t>NON-ROSTERED WORK EXPERIENCE</t>
  </si>
  <si>
    <r>
      <t xml:space="preserve">ADJUSTED BASELINE  </t>
    </r>
    <r>
      <rPr>
        <sz val="12"/>
        <color theme="1"/>
        <rFont val="Calibri"/>
        <family val="2"/>
        <scheme val="minor"/>
      </rPr>
      <t>(from above)</t>
    </r>
  </si>
  <si>
    <t>BOX E:</t>
  </si>
  <si>
    <t xml:space="preserve">AMOUNT G: </t>
  </si>
  <si>
    <r>
      <t>Enter the number of years of previous experience to be considered for the sake of a compensation adjustment in BOX F.  
[</t>
    </r>
    <r>
      <rPr>
        <i/>
        <sz val="10"/>
        <color theme="1"/>
        <rFont val="Calibri"/>
        <family val="2"/>
        <scheme val="minor"/>
      </rPr>
      <t>AMOUNT G = BOX F / 2 (maximum of 8).]</t>
    </r>
  </si>
  <si>
    <t xml:space="preserve">BOX H: </t>
  </si>
  <si>
    <t xml:space="preserve">AMOUNT I: </t>
  </si>
  <si>
    <t xml:space="preserve">BOX J: </t>
  </si>
  <si>
    <t>AMOUNT K = 
BOX E + AMOUNT G + AMOUNT I + BOX J.</t>
  </si>
  <si>
    <t>ADDITIONAL VALUE</t>
  </si>
  <si>
    <r>
      <t xml:space="preserve">ADDITIONAL VALUE  </t>
    </r>
    <r>
      <rPr>
        <sz val="12"/>
        <color theme="1"/>
        <rFont val="Calibri"/>
        <family val="2"/>
        <scheme val="minor"/>
      </rPr>
      <t>(from above)</t>
    </r>
  </si>
  <si>
    <t>AMOUNT R:</t>
  </si>
  <si>
    <t>Points</t>
  </si>
  <si>
    <t>CHOOSE</t>
  </si>
  <si>
    <t>Below median</t>
  </si>
  <si>
    <t>Near median</t>
  </si>
  <si>
    <t>Above median</t>
  </si>
  <si>
    <t>Enter above</t>
  </si>
  <si>
    <t>Yes</t>
  </si>
  <si>
    <t>No</t>
  </si>
  <si>
    <t>Signature of Council President:</t>
  </si>
  <si>
    <t>Date:</t>
  </si>
  <si>
    <t>STEP 5</t>
  </si>
  <si>
    <t>HOUSING / FURNISHINGS DESIGNATION</t>
  </si>
  <si>
    <t>SALARY TOTAL</t>
  </si>
  <si>
    <t>Portion defined as salary (including SECA) when reported to IRS</t>
  </si>
  <si>
    <t>COUNCIL HOUSING ALLOWANCE RESOLUTION</t>
  </si>
  <si>
    <t>ADDITIONAL RESPONSIBILITIES OR GIFTS</t>
  </si>
  <si>
    <t xml:space="preserve">The congregation council of </t>
  </si>
  <si>
    <t xml:space="preserve">on </t>
  </si>
  <si>
    <t>as a housing allowance,</t>
  </si>
  <si>
    <t>on a motion duly made and seconded, adopted the following resolution:</t>
  </si>
  <si>
    <t>Signature: ___________________________</t>
  </si>
  <si>
    <t>Date: _______________</t>
  </si>
  <si>
    <t>Council Secretary Name: _____________________</t>
  </si>
  <si>
    <t xml:space="preserve"> and a housing/furnishings allowance of:</t>
  </si>
  <si>
    <t xml:space="preserve">BOX M: </t>
  </si>
  <si>
    <t xml:space="preserve">AMOUNT N: </t>
  </si>
  <si>
    <t>TO BE ADJUSTED BY COMPENSATION COMMITTEE EACH YEAR</t>
  </si>
  <si>
    <r>
      <t xml:space="preserve">  Do not modify these unless changing the </t>
    </r>
    <r>
      <rPr>
        <i/>
        <sz val="11"/>
        <color theme="1"/>
        <rFont val="Calibri"/>
        <family val="2"/>
        <scheme val="minor"/>
      </rPr>
      <t>method</t>
    </r>
    <r>
      <rPr>
        <sz val="11"/>
        <color theme="1"/>
        <rFont val="Calibri"/>
        <family val="2"/>
        <scheme val="minor"/>
      </rPr>
      <t xml:space="preserve"> of calculation.</t>
    </r>
  </si>
  <si>
    <t>- Green fields are calculated on the TOTAL MEDIAN COMPENSATION calculated in the worksheets.</t>
  </si>
  <si>
    <t xml:space="preserve">  These are only to be added by the Synod Compensation Committee.</t>
  </si>
  <si>
    <t>- Blue fields on this sheet are calculated based on the TOTAL COST OF LIVING INCREASE.</t>
  </si>
  <si>
    <t>- Orange fields on this sheet are yearly cost of living (COL) increases added to the Total COL Increase.</t>
  </si>
  <si>
    <t>Fulltime / Part time Menu</t>
  </si>
  <si>
    <t>Three-quarter time</t>
  </si>
  <si>
    <t>Half-time</t>
  </si>
  <si>
    <t>Quarter time</t>
  </si>
  <si>
    <t>90% time</t>
  </si>
  <si>
    <t>80% time</t>
  </si>
  <si>
    <t>70% time</t>
  </si>
  <si>
    <t>60% time</t>
  </si>
  <si>
    <t>50% time</t>
  </si>
  <si>
    <t>40% time</t>
  </si>
  <si>
    <t>30% time</t>
  </si>
  <si>
    <t>20% time</t>
  </si>
  <si>
    <t>10% time</t>
  </si>
  <si>
    <t>Two-thirds time</t>
  </si>
  <si>
    <t>One-third time</t>
  </si>
  <si>
    <t>FULL / PART TIME ADJUSTMENT</t>
  </si>
  <si>
    <t>Compensation is adjusted if the minister serves less than full time</t>
  </si>
  <si>
    <t>[AMOUNT N = (AMOUNT D + AMOUNT L) x BOX M]</t>
  </si>
  <si>
    <t xml:space="preserve">BOX O: </t>
  </si>
  <si>
    <t xml:space="preserve">AMOUNT P: </t>
  </si>
  <si>
    <t>BOX Q:</t>
  </si>
  <si>
    <t>AMOUNT S:</t>
  </si>
  <si>
    <t>ITEMS ON THIS SHEET CANNOT BE MODIFIED - THEY ARE FOR CALCULATIONS ONLY</t>
  </si>
  <si>
    <r>
      <rPr>
        <b/>
        <sz val="12"/>
        <color rgb="FFC00000"/>
        <rFont val="Calibri"/>
        <family val="2"/>
        <scheme val="minor"/>
      </rPr>
      <t xml:space="preserve">TO SAVE AS PDF:  </t>
    </r>
    <r>
      <rPr>
        <sz val="12"/>
        <color theme="1"/>
        <rFont val="Calibri"/>
        <family val="2"/>
        <scheme val="minor"/>
      </rPr>
      <t xml:space="preserve">Click the </t>
    </r>
    <r>
      <rPr>
        <b/>
        <sz val="12"/>
        <color rgb="FF057B3A"/>
        <rFont val="Calibri"/>
        <family val="2"/>
        <scheme val="minor"/>
      </rPr>
      <t>File</t>
    </r>
    <r>
      <rPr>
        <sz val="12"/>
        <color theme="1"/>
        <rFont val="Calibri"/>
        <family val="2"/>
        <scheme val="minor"/>
      </rPr>
      <t xml:space="preserve"> tab above, then </t>
    </r>
    <r>
      <rPr>
        <b/>
        <sz val="12"/>
        <color rgb="FF057B3A"/>
        <rFont val="Calibri"/>
        <family val="2"/>
        <scheme val="minor"/>
      </rPr>
      <t>Export</t>
    </r>
    <r>
      <rPr>
        <sz val="12"/>
        <color theme="1"/>
        <rFont val="Calibri"/>
        <family val="2"/>
        <scheme val="minor"/>
      </rPr>
      <t xml:space="preserve">.  Click the </t>
    </r>
    <r>
      <rPr>
        <b/>
        <sz val="12"/>
        <color rgb="FF057B3A"/>
        <rFont val="Calibri"/>
        <family val="2"/>
        <scheme val="minor"/>
      </rPr>
      <t>Create PDF/XPS button</t>
    </r>
    <r>
      <rPr>
        <sz val="12"/>
        <color theme="1"/>
        <rFont val="Calibri"/>
        <family val="2"/>
        <scheme val="minor"/>
      </rPr>
      <t xml:space="preserve"> and choose where to save the file.</t>
    </r>
  </si>
  <si>
    <r>
      <rPr>
        <b/>
        <sz val="12"/>
        <color rgb="FFC00000"/>
        <rFont val="Calibri"/>
        <family val="2"/>
        <scheme val="minor"/>
      </rPr>
      <t xml:space="preserve">TO PRINT:  </t>
    </r>
    <r>
      <rPr>
        <sz val="12"/>
        <color theme="1"/>
        <rFont val="Calibri"/>
        <family val="2"/>
        <scheme val="minor"/>
      </rPr>
      <t xml:space="preserve">Click the </t>
    </r>
    <r>
      <rPr>
        <b/>
        <sz val="12"/>
        <color rgb="FF057B3A"/>
        <rFont val="Calibri"/>
        <family val="2"/>
        <scheme val="minor"/>
      </rPr>
      <t>File</t>
    </r>
    <r>
      <rPr>
        <sz val="12"/>
        <color theme="1"/>
        <rFont val="Calibri"/>
        <family val="2"/>
        <scheme val="minor"/>
      </rPr>
      <t xml:space="preserve"> tab above, then </t>
    </r>
    <r>
      <rPr>
        <b/>
        <sz val="12"/>
        <color rgb="FF057B3A"/>
        <rFont val="Calibri"/>
        <family val="2"/>
        <scheme val="minor"/>
      </rPr>
      <t>Print</t>
    </r>
    <r>
      <rPr>
        <sz val="12"/>
        <color theme="1"/>
        <rFont val="Calibri"/>
        <family val="2"/>
        <scheme val="minor"/>
      </rPr>
      <t>.  Only this open worksheet will print.  It will print on two sheets of paper.</t>
    </r>
  </si>
  <si>
    <r>
      <t>Enter the amount of time the minister spends in this position.</t>
    </r>
    <r>
      <rPr>
        <i/>
        <sz val="10"/>
        <color theme="1"/>
        <rFont val="Calibri"/>
        <family val="2"/>
        <scheme val="minor"/>
      </rPr>
      <t xml:space="preserve"> If less than full time, the proportion should be determined in consultation with the synod office.</t>
    </r>
  </si>
  <si>
    <t>Full time</t>
  </si>
  <si>
    <r>
      <rPr>
        <b/>
        <sz val="14"/>
        <color rgb="FFFF0000"/>
        <rFont val="Calibri"/>
        <family val="2"/>
        <scheme val="minor"/>
      </rPr>
      <t xml:space="preserve">Please read the directions on each line. </t>
    </r>
    <r>
      <rPr>
        <sz val="14"/>
        <color rgb="FFFF0000"/>
        <rFont val="Calibri"/>
        <family val="2"/>
        <scheme val="minor"/>
      </rPr>
      <t xml:space="preserve"> You </t>
    </r>
    <r>
      <rPr>
        <u/>
        <sz val="14"/>
        <color rgb="FFFF0000"/>
        <rFont val="Calibri"/>
        <family val="2"/>
        <scheme val="minor"/>
      </rPr>
      <t>must</t>
    </r>
    <r>
      <rPr>
        <sz val="14"/>
        <color rgb="FFFF0000"/>
        <rFont val="Calibri"/>
        <family val="2"/>
        <scheme val="minor"/>
      </rPr>
      <t xml:space="preserve"> enter a number 
or make a selection in every orange box.  Blue boxes are automatically calculated. </t>
    </r>
  </si>
  <si>
    <r>
      <rPr>
        <b/>
        <sz val="11"/>
        <rFont val="Calibri"/>
        <family val="2"/>
        <scheme val="minor"/>
      </rPr>
      <t xml:space="preserve">Video Tutorial - </t>
    </r>
    <r>
      <rPr>
        <u/>
        <sz val="11"/>
        <color theme="10"/>
        <rFont val="Calibri"/>
        <family val="2"/>
        <scheme val="minor"/>
      </rPr>
      <t>Watch a tutorial for filling out this worksheet on the Synod website.</t>
    </r>
  </si>
  <si>
    <r>
      <rPr>
        <b/>
        <sz val="11"/>
        <rFont val="Calibri"/>
        <family val="2"/>
        <scheme val="minor"/>
      </rPr>
      <t xml:space="preserve">Written Guidelines - </t>
    </r>
    <r>
      <rPr>
        <u/>
        <sz val="11"/>
        <color theme="10"/>
        <rFont val="Calibri"/>
        <family val="2"/>
        <scheme val="minor"/>
      </rPr>
      <t>View the written Compensation Guidelines on the Synod website.</t>
    </r>
  </si>
  <si>
    <r>
      <t>Because congregations must pay 7.65% for lay employee’s social security and medicare benefits, it is fair to pay this amount to a pastor.  
[</t>
    </r>
    <r>
      <rPr>
        <i/>
        <sz val="10"/>
        <color theme="1"/>
        <rFont val="Calibri"/>
        <family val="2"/>
        <scheme val="minor"/>
      </rPr>
      <t>AMOUNT R = (AMOUNT S - BOX Q</t>
    </r>
    <r>
      <rPr>
        <sz val="10"/>
        <color theme="1"/>
        <rFont val="Calibri"/>
        <family val="2"/>
        <scheme val="minor"/>
      </rPr>
      <t>]</t>
    </r>
  </si>
  <si>
    <t>Clergy are self-employed for tax purposes, so 7.65% of Negotiated Compensation + Parsonage adjustment is paid as salary.</t>
  </si>
  <si>
    <t>This is what a congregation will pay the pastor.
[AMOUNT S = ((BOX Q - AMOUNT P) / 0.9235) + AMOUNT P]</t>
  </si>
  <si>
    <t>https://www.usinflationcalculator.com/inflation/current-inflation-rates/</t>
  </si>
  <si>
    <t>https://www.bls.gov/data/inflation_calculator.htm</t>
  </si>
  <si>
    <t>Year</t>
  </si>
  <si>
    <t>Prior Yr Inflation</t>
  </si>
  <si>
    <t>n/a</t>
  </si>
  <si>
    <t>Calendar year beginning:</t>
  </si>
  <si>
    <t>Accrued Inflation</t>
  </si>
  <si>
    <t>Calculated</t>
  </si>
  <si>
    <t>Verified</t>
  </si>
  <si>
    <t>Local Cost of Living Menu</t>
  </si>
  <si>
    <t>Step Increase</t>
  </si>
  <si>
    <t>Total</t>
  </si>
  <si>
    <t>Point half-step values</t>
  </si>
  <si>
    <t>Intermediate step delta</t>
  </si>
  <si>
    <t>2021 Base for 0.5</t>
  </si>
  <si>
    <t>If a parsonage is provided, reduce compensation by:</t>
  </si>
  <si>
    <t>Additional Education Points Menu</t>
  </si>
  <si>
    <t>Missouri</t>
  </si>
  <si>
    <t>Kansas</t>
  </si>
  <si>
    <t>PAYROLL CALCULATIONS</t>
  </si>
  <si>
    <r>
      <t xml:space="preserve">W-2 CALCULATIONS </t>
    </r>
    <r>
      <rPr>
        <sz val="18"/>
        <color theme="1"/>
        <rFont val="Calibri"/>
        <family val="2"/>
        <scheme val="minor"/>
      </rPr>
      <t xml:space="preserve"> (unofficial)</t>
    </r>
  </si>
  <si>
    <t>COMPENSATION</t>
  </si>
  <si>
    <t>Per year</t>
  </si>
  <si>
    <t>Per pay period</t>
  </si>
  <si>
    <t>a. Employee's social security number</t>
  </si>
  <si>
    <t>1  Wages, tips, other compensation</t>
  </si>
  <si>
    <t>2 Federal income tax withheld</t>
  </si>
  <si>
    <t xml:space="preserve"> XXX-XX-XXXX</t>
  </si>
  <si>
    <t>Leave blank</t>
  </si>
  <si>
    <t>b. Employer identification number (EIN)</t>
  </si>
  <si>
    <t>3  Social security wages</t>
  </si>
  <si>
    <t>4  Social security tax withheld</t>
  </si>
  <si>
    <t>c. Employer's name, address, and ZIP code</t>
  </si>
  <si>
    <t>5  Medicare wages and tips</t>
  </si>
  <si>
    <t>6  Medicare tax withheld</t>
  </si>
  <si>
    <t>HOUSING/FURNISHINGS ELECTION</t>
  </si>
  <si>
    <t xml:space="preserve"> Sample Lutheran Church</t>
  </si>
  <si>
    <t xml:space="preserve"> 1234 Jesus Way</t>
  </si>
  <si>
    <t>7  Social security tips</t>
  </si>
  <si>
    <t>8  Allocated tips</t>
  </si>
  <si>
    <t xml:space="preserve"> Someplace, ND  55555</t>
  </si>
  <si>
    <r>
      <t xml:space="preserve">PORTICO ELECTIONS </t>
    </r>
    <r>
      <rPr>
        <sz val="12"/>
        <color theme="0"/>
        <rFont val="Calibri"/>
        <family val="2"/>
        <scheme val="minor"/>
      </rPr>
      <t>(</t>
    </r>
    <r>
      <rPr>
        <i/>
        <sz val="12"/>
        <color theme="0"/>
        <rFont val="Calibri"/>
        <family val="2"/>
        <scheme val="minor"/>
      </rPr>
      <t>paid by employer to Portico</t>
    </r>
    <r>
      <rPr>
        <sz val="12"/>
        <color theme="0"/>
        <rFont val="Calibri"/>
        <family val="2"/>
        <scheme val="minor"/>
      </rPr>
      <t>)</t>
    </r>
  </si>
  <si>
    <t>d.  Control number</t>
  </si>
  <si>
    <t>10  Dependent care benefits</t>
  </si>
  <si>
    <r>
      <t xml:space="preserve">Supplemental Life Insurance* </t>
    </r>
    <r>
      <rPr>
        <sz val="12"/>
        <color theme="1"/>
        <rFont val="Calibri"/>
        <family val="2"/>
        <scheme val="minor"/>
      </rPr>
      <t xml:space="preserve"> (</t>
    </r>
    <r>
      <rPr>
        <i/>
        <sz val="12"/>
        <color theme="1"/>
        <rFont val="Calibri"/>
        <family val="2"/>
        <scheme val="minor"/>
      </rPr>
      <t>payroll</t>
    </r>
    <r>
      <rPr>
        <sz val="12"/>
        <color theme="1"/>
        <rFont val="Calibri"/>
        <family val="2"/>
        <scheme val="minor"/>
      </rPr>
      <t xml:space="preserve"> deduction)</t>
    </r>
  </si>
  <si>
    <r>
      <t xml:space="preserve">Employee Retirement Contribution* </t>
    </r>
    <r>
      <rPr>
        <sz val="12"/>
        <color theme="1"/>
        <rFont val="Calibri"/>
        <family val="2"/>
        <scheme val="minor"/>
      </rPr>
      <t xml:space="preserve"> (</t>
    </r>
    <r>
      <rPr>
        <i/>
        <sz val="12"/>
        <color theme="1"/>
        <rFont val="Calibri"/>
        <family val="2"/>
        <scheme val="minor"/>
      </rPr>
      <t>wage</t>
    </r>
    <r>
      <rPr>
        <sz val="12"/>
        <color theme="1"/>
        <rFont val="Calibri"/>
        <family val="2"/>
        <scheme val="minor"/>
      </rPr>
      <t xml:space="preserve"> reduction)</t>
    </r>
  </si>
  <si>
    <t>e. Employee's first name and initial                   Last name                   Suff.</t>
  </si>
  <si>
    <t>11  Nonqualified plans</t>
  </si>
  <si>
    <t>12a  See instructions for box 12</t>
  </si>
  <si>
    <r>
      <t>Dependent Care Flexible Spending Account (FSA)*</t>
    </r>
    <r>
      <rPr>
        <sz val="12"/>
        <rFont val="Calibri"/>
        <family val="2"/>
        <scheme val="minor"/>
      </rPr>
      <t xml:space="preserve">  (</t>
    </r>
    <r>
      <rPr>
        <i/>
        <sz val="12"/>
        <rFont val="Calibri"/>
        <family val="2"/>
        <scheme val="minor"/>
      </rPr>
      <t>wage</t>
    </r>
    <r>
      <rPr>
        <sz val="12"/>
        <rFont val="Calibri"/>
        <family val="2"/>
        <scheme val="minor"/>
      </rPr>
      <t xml:space="preserve"> reduction)</t>
    </r>
  </si>
  <si>
    <t xml:space="preserve"> Jane X. Doe Jr.</t>
  </si>
  <si>
    <t>DD</t>
  </si>
  <si>
    <t>See notes below</t>
  </si>
  <si>
    <r>
      <t xml:space="preserve">Health Flexible Spending Account (FSA)*  </t>
    </r>
    <r>
      <rPr>
        <sz val="12"/>
        <color theme="1"/>
        <rFont val="Calibri"/>
        <family val="2"/>
        <scheme val="minor"/>
      </rPr>
      <t>(</t>
    </r>
    <r>
      <rPr>
        <i/>
        <sz val="12"/>
        <color theme="1"/>
        <rFont val="Calibri"/>
        <family val="2"/>
        <scheme val="minor"/>
      </rPr>
      <t>wage</t>
    </r>
    <r>
      <rPr>
        <sz val="12"/>
        <color theme="1"/>
        <rFont val="Calibri"/>
        <family val="2"/>
        <scheme val="minor"/>
      </rPr>
      <t xml:space="preserve"> reduction)</t>
    </r>
  </si>
  <si>
    <t xml:space="preserve"> 1 Pastor Street</t>
  </si>
  <si>
    <t>13  Statutory employee</t>
  </si>
  <si>
    <t>Retirement             plan</t>
  </si>
  <si>
    <t>Third-party                sick pay</t>
  </si>
  <si>
    <t>12b</t>
  </si>
  <si>
    <t>E</t>
  </si>
  <si>
    <r>
      <t>Employee Health Savings Account (HSA)*</t>
    </r>
    <r>
      <rPr>
        <sz val="12"/>
        <rFont val="Calibri"/>
        <family val="2"/>
        <scheme val="minor"/>
      </rPr>
      <t xml:space="preserve">  (</t>
    </r>
    <r>
      <rPr>
        <i/>
        <sz val="12"/>
        <rFont val="Calibri"/>
        <family val="2"/>
        <scheme val="minor"/>
      </rPr>
      <t>wage</t>
    </r>
    <r>
      <rPr>
        <sz val="12"/>
        <rFont val="Calibri"/>
        <family val="2"/>
        <scheme val="minor"/>
      </rPr>
      <t xml:space="preserve"> reduction)</t>
    </r>
  </si>
  <si>
    <t>X</t>
  </si>
  <si>
    <t>12c</t>
  </si>
  <si>
    <t>W</t>
  </si>
  <si>
    <t>14 Other</t>
  </si>
  <si>
    <t>12d</t>
  </si>
  <si>
    <t>f. Employee's address and ZIP code</t>
  </si>
  <si>
    <t xml:space="preserve"> Housing</t>
  </si>
  <si>
    <t>15  State</t>
  </si>
  <si>
    <t>Employer's state ID number</t>
  </si>
  <si>
    <t>16  State wages, tips, etc.</t>
  </si>
  <si>
    <t>17  State income tax</t>
  </si>
  <si>
    <t>18 Local wages, tips, etc.</t>
  </si>
  <si>
    <t>19 Local income tax</t>
  </si>
  <si>
    <t>20 Locality name</t>
  </si>
  <si>
    <t>PAYCHECK</t>
  </si>
  <si>
    <t>KS/MO</t>
  </si>
  <si>
    <t xml:space="preserve">  XX-XXXXXXX</t>
  </si>
  <si>
    <t xml:space="preserve"> Someplace</t>
  </si>
  <si>
    <r>
      <t>Paycheck</t>
    </r>
    <r>
      <rPr>
        <sz val="12"/>
        <color theme="1"/>
        <rFont val="Calibri"/>
        <family val="2"/>
        <scheme val="minor"/>
      </rPr>
      <t xml:space="preserve"> (= Defined Compensation + Housing -Life -Retire -FSA, -HSA)</t>
    </r>
  </si>
  <si>
    <t>Box 1</t>
  </si>
  <si>
    <t>= Defined compensation - Housing/Furnishing Allowance - Employee Retirement - FSA - Employee HSA.  [B7-B10-B14-B15-B16-B17]</t>
  </si>
  <si>
    <t>Box 12</t>
  </si>
  <si>
    <t>E - Elective deferrals under a section 403(b) salary reduction agreement.  ONLY fill out on W-2 if more than zero.  [B14]</t>
  </si>
  <si>
    <t>W - Employer contributions (including employee elections) to an HSA.  ONLY fill out on W-2 if more than zero.  [B17+B18]</t>
  </si>
  <si>
    <t>Box 18</t>
  </si>
  <si>
    <t>Only filled if local income tax is assessed.  Otherwise leave blank.</t>
  </si>
  <si>
    <t xml:space="preserve">Blue boxes are automatically calculated based on manual entries here and on the compensation worksheet.  </t>
  </si>
  <si>
    <t>Box 20</t>
  </si>
  <si>
    <t>* If other taxable benefits, gifts, or compensation is provided, the values and boxes completed may need to be modified.</t>
  </si>
  <si>
    <t>Orange boxes must be manually entered.</t>
  </si>
  <si>
    <t>Red text must be entered on  Form W-2</t>
  </si>
  <si>
    <t>These calculations are provided for informational purposes only.  They should not be considered legal guidance.  Congregations should be familiar with and follow all current IRS instructions and regulations.  
For further information, consult with a tax preparation, legal, or financial expert.</t>
  </si>
  <si>
    <r>
      <t>Congregation Health Savings Account (HSA)*</t>
    </r>
    <r>
      <rPr>
        <sz val="12"/>
        <rFont val="Calibri"/>
        <family val="2"/>
        <scheme val="minor"/>
      </rPr>
      <t xml:space="preserve">   (independent of salary)</t>
    </r>
  </si>
  <si>
    <t>Payroll Frequency Selection</t>
  </si>
  <si>
    <t>Semi-Monthly (twice a month)</t>
  </si>
  <si>
    <t>Bi-Weekly (every other week)</t>
  </si>
  <si>
    <t xml:space="preserve">Paycheck Frequency:  </t>
  </si>
  <si>
    <t>Monthly</t>
  </si>
  <si>
    <t>ꭞ Included in Defined Compensation above</t>
  </si>
  <si>
    <r>
      <t xml:space="preserve">   </t>
    </r>
    <r>
      <rPr>
        <i/>
        <u/>
        <sz val="11"/>
        <rFont val="Calibri"/>
        <family val="2"/>
        <scheme val="minor"/>
      </rPr>
      <t>Wage</t>
    </r>
    <r>
      <rPr>
        <i/>
        <sz val="11"/>
        <rFont val="Calibri"/>
        <family val="2"/>
        <scheme val="minor"/>
      </rPr>
      <t xml:space="preserve"> reductions use pre-tax dollars.  </t>
    </r>
    <r>
      <rPr>
        <i/>
        <u/>
        <sz val="11"/>
        <rFont val="Calibri"/>
        <family val="2"/>
        <scheme val="minor"/>
      </rPr>
      <t>Payroll</t>
    </r>
    <r>
      <rPr>
        <i/>
        <sz val="11"/>
        <rFont val="Calibri"/>
        <family val="2"/>
        <scheme val="minor"/>
      </rPr>
      <t xml:space="preserve"> deductions use post-tax dollars.</t>
    </r>
  </si>
  <si>
    <r>
      <t>Negotiated Compensation</t>
    </r>
    <r>
      <rPr>
        <sz val="12"/>
        <color rgb="FF000000"/>
        <rFont val="Calibri"/>
        <family val="2"/>
        <scheme val="minor"/>
      </rPr>
      <t xml:space="preserve">  [from worksheet BOX Q]</t>
    </r>
  </si>
  <si>
    <r>
      <rPr>
        <b/>
        <sz val="12"/>
        <color rgb="FF000000"/>
        <rFont val="Calibri"/>
        <family val="2"/>
        <scheme val="minor"/>
      </rPr>
      <t>SECA</t>
    </r>
    <r>
      <rPr>
        <sz val="12"/>
        <color rgb="FF000000"/>
        <rFont val="Calibri"/>
        <family val="2"/>
        <scheme val="minor"/>
      </rPr>
      <t xml:space="preserve">  [from worksheet AMOUNT R]</t>
    </r>
  </si>
  <si>
    <r>
      <t xml:space="preserve">Defined Compensation </t>
    </r>
    <r>
      <rPr>
        <sz val="12"/>
        <color rgb="FF000000"/>
        <rFont val="Calibri"/>
        <family val="2"/>
        <scheme val="minor"/>
      </rPr>
      <t>(incl. Housing)</t>
    </r>
    <r>
      <rPr>
        <b/>
        <sz val="12"/>
        <color rgb="FF000000"/>
        <rFont val="Calibri"/>
        <family val="2"/>
        <scheme val="minor"/>
      </rPr>
      <t xml:space="preserve">  </t>
    </r>
    <r>
      <rPr>
        <sz val="12"/>
        <color rgb="FF000000"/>
        <rFont val="Calibri"/>
        <family val="2"/>
        <scheme val="minor"/>
      </rPr>
      <t>[from worksheet AMOUNT S]</t>
    </r>
  </si>
  <si>
    <r>
      <t xml:space="preserve">* PORTICO ELECTIONS MUST BE ADDED AS </t>
    </r>
    <r>
      <rPr>
        <b/>
        <i/>
        <sz val="11"/>
        <color theme="5" tint="-0.249977111117893"/>
        <rFont val="Calibri"/>
        <family val="2"/>
        <scheme val="minor"/>
      </rPr>
      <t>NEGATIVE</t>
    </r>
    <r>
      <rPr>
        <i/>
        <sz val="11"/>
        <color theme="5" tint="-0.249977111117893"/>
        <rFont val="Calibri"/>
        <family val="2"/>
        <scheme val="minor"/>
      </rPr>
      <t xml:space="preserve"> NUMBERS</t>
    </r>
  </si>
  <si>
    <r>
      <t xml:space="preserve">DD - Cost of employer-sponsored </t>
    </r>
    <r>
      <rPr>
        <u/>
        <sz val="10"/>
        <color theme="1"/>
        <rFont val="Calibri"/>
        <family val="2"/>
        <scheme val="minor"/>
      </rPr>
      <t>health</t>
    </r>
    <r>
      <rPr>
        <sz val="10"/>
        <color theme="1"/>
        <rFont val="Calibri"/>
        <family val="2"/>
        <scheme val="minor"/>
      </rPr>
      <t xml:space="preserve"> coverage. Premiums paid by the congregation to Portico.   For information only.  </t>
    </r>
  </si>
  <si>
    <t>https://www.irs.gov/forms-pubs/about-form-w-2</t>
  </si>
  <si>
    <t>https://www.socialsecurity.gov/employer</t>
  </si>
  <si>
    <t xml:space="preserve">https://www.irs.gov/orderforms </t>
  </si>
  <si>
    <r>
      <rPr>
        <b/>
        <i/>
        <sz val="11"/>
        <color theme="1"/>
        <rFont val="Calibri"/>
        <family val="2"/>
        <scheme val="minor"/>
      </rPr>
      <t>Information and instructions</t>
    </r>
    <r>
      <rPr>
        <i/>
        <sz val="11"/>
        <color theme="1"/>
        <rFont val="Calibri"/>
        <family val="2"/>
        <scheme val="minor"/>
      </rPr>
      <t xml:space="preserve"> for filling out Form W-2 are available at:</t>
    </r>
  </si>
  <si>
    <r>
      <rPr>
        <b/>
        <i/>
        <sz val="11"/>
        <color theme="1"/>
        <rFont val="Calibri"/>
        <family val="2"/>
        <scheme val="minor"/>
      </rPr>
      <t>To order official IRS information returns, such as Form W-2,</t>
    </r>
    <r>
      <rPr>
        <i/>
        <sz val="11"/>
        <color theme="1"/>
        <rFont val="Calibri"/>
        <family val="2"/>
        <scheme val="minor"/>
      </rPr>
      <t xml:space="preserve"> which includes a scannable Copy A for filing, go to IRS’ "Online Ordering for Information Returns and Employer Returns" page (link below) and click on "Employer and Information Returns." They will mail you the products you order, but this can take several weeks, so be sure to plan ahead.</t>
    </r>
  </si>
  <si>
    <t>January 31st is the deadline to file W-2s using Business Services Online or to submit paper Form W-2. If this date falls on a Saturday, Sunday, or legal holiday, the deadline will be the next business day.
January 31st is the deadline to distribute Forms W-2 to employee(s).</t>
  </si>
  <si>
    <t>https://www.zillow.com/home-values</t>
  </si>
  <si>
    <t>MO/KS Avg.</t>
  </si>
  <si>
    <t>[Enter Congregation Name Here]</t>
  </si>
  <si>
    <t>[Enter Date]</t>
  </si>
  <si>
    <t>Localized COLA Text:</t>
  </si>
  <si>
    <t>Zillow Jan. housing cost:</t>
  </si>
  <si>
    <t>Zillow Housing Data:</t>
  </si>
  <si>
    <r>
      <t xml:space="preserve">
Add the upcoming year's inflation adjustment to column C on this page.  
</t>
    </r>
    <r>
      <rPr>
        <i/>
        <sz val="12"/>
        <color rgb="FF0070C0"/>
        <rFont val="Calibri"/>
        <family val="2"/>
        <scheme val="minor"/>
      </rPr>
      <t>The Accrued Inflation rate, Synod Baseline, Revised Point Values, and Cost of Living Menu will all automatically adjust based on this value.</t>
    </r>
    <r>
      <rPr>
        <sz val="12"/>
        <color rgb="FF0070C0"/>
        <rFont val="Calibri"/>
        <family val="2"/>
        <scheme val="minor"/>
      </rPr>
      <t xml:space="preserve">
Update the Zillow housing cost in columns C and D with the current year's January housing rates.
Update the calendar year in cell I4.</t>
    </r>
  </si>
  <si>
    <t>Baseline Adjustment Menu</t>
  </si>
  <si>
    <t>Consumer Price Index:</t>
  </si>
  <si>
    <t>This is NOT a legal form W-2.  W-2s must be filed electronically or on IRS forms (see notes below).</t>
  </si>
  <si>
    <t>Pastor (Word &amp; Sacrament)</t>
  </si>
  <si>
    <t>Deacon (Word &amp; Service)</t>
  </si>
  <si>
    <t>The value in the Prior Yr Inflation is taken from the US Inflation calculator (link below).  The average monthly inflation for the year two years before the target year is entered here.  For example, the entry for 2023 is the average monthly inflation rate for 2021.</t>
  </si>
  <si>
    <r>
      <rPr>
        <b/>
        <sz val="12"/>
        <color rgb="FF000000"/>
        <rFont val="Calibri"/>
        <family val="2"/>
        <scheme val="minor"/>
      </rPr>
      <t>Housing/Furnishings Allowance</t>
    </r>
    <r>
      <rPr>
        <sz val="12"/>
        <color rgb="FF000000"/>
        <rFont val="Calibri"/>
        <family val="2"/>
      </rPr>
      <t>ꭞ</t>
    </r>
    <r>
      <rPr>
        <sz val="12"/>
        <color rgb="FF000000"/>
        <rFont val="Calibri"/>
        <family val="2"/>
        <scheme val="minor"/>
      </rPr>
      <t xml:space="preserve">  [from worksheet STEP 5]</t>
    </r>
  </si>
  <si>
    <r>
      <rPr>
        <b/>
        <i/>
        <sz val="11"/>
        <color theme="1"/>
        <rFont val="Calibri"/>
        <family val="2"/>
        <scheme val="minor"/>
      </rPr>
      <t>You may file Forms W-2 electronically</t>
    </r>
    <r>
      <rPr>
        <i/>
        <sz val="11"/>
        <color theme="1"/>
        <rFont val="Calibri"/>
        <family val="2"/>
        <scheme val="minor"/>
      </rPr>
      <t xml:space="preserve"> on the Social Security Administration's "Employer W-2 Filing Instructions and Information" web page, which is accessible at:</t>
    </r>
  </si>
  <si>
    <t>Zip code-specific data for your area can also be found at this source.</t>
  </si>
  <si>
    <r>
      <t>Vision coverage Plan (VSP)*</t>
    </r>
    <r>
      <rPr>
        <sz val="12"/>
        <rFont val="Calibri"/>
        <family val="2"/>
        <scheme val="minor"/>
      </rPr>
      <t xml:space="preserve"> (wage reduction if not covered by congregation)</t>
    </r>
  </si>
  <si>
    <t>SERVICE TYPE</t>
  </si>
  <si>
    <r>
      <t>Enter Yes or No based on whether the leader earned one or more degrees beyond the Master of Divinity level in a ministry-related field (e.g. M.A., M.Th., D.Min., Ph.D., Th.D., S.T.M.) or completed over 450 hours of Continuing Education.  
[</t>
    </r>
    <r>
      <rPr>
        <i/>
        <sz val="10"/>
        <color theme="1"/>
        <rFont val="Calibri"/>
        <family val="2"/>
        <scheme val="minor"/>
      </rPr>
      <t>AMOUNT I = 0 or 3, based on BOX H</t>
    </r>
    <r>
      <rPr>
        <sz val="10"/>
        <color theme="1"/>
        <rFont val="Calibri"/>
        <family val="2"/>
        <scheme val="minor"/>
      </rPr>
      <t>]</t>
    </r>
  </si>
  <si>
    <t>Synod Authoized Minister</t>
  </si>
  <si>
    <t>Select to set the Baseline.</t>
  </si>
  <si>
    <t>Sets baseline by minister status.</t>
  </si>
  <si>
    <t>We acknowledge the value of prior experience and maturity developed in the workplace, even outside of ministry.</t>
  </si>
  <si>
    <t>Signature of Minister:</t>
  </si>
  <si>
    <t>Pulpit</t>
  </si>
  <si>
    <t>Supply</t>
  </si>
  <si>
    <t xml:space="preserve"> XX-XXXXXXX</t>
  </si>
  <si>
    <t>DESIGNATE HOUSING/FURNISHING ALLOWANCE FOR TAX PURPOSE (Clergy/SAM Only)</t>
  </si>
  <si>
    <t>STEP 6</t>
  </si>
  <si>
    <t>DETERMINE SECA ALLOWANCE TO BE PAID (Clergy Only)</t>
  </si>
  <si>
    <t xml:space="preserve">If compensation is for a:  DEACON - Stop Here.  Do NOT complete Steps 5 and 6.
                                           SYNODICALLY AUTHORIZIZED MINISTER - Complete Step 6 below.  Do NOT complete Step 5.
                                           PASTOR - Complete Steps 5 and 6 below.
</t>
  </si>
  <si>
    <t>NOTE:  Pastor/SAM and congregation must determine the portion of Defined Compensation to be designated Housing/Furnishings Allowance for tax purposes. It must be voted on and recorded in council minutes. Step 6 provides a calculator and resolution.</t>
  </si>
  <si>
    <r>
      <rPr>
        <sz val="10"/>
        <rFont val="Calibri"/>
        <family val="2"/>
        <scheme val="minor"/>
      </rPr>
      <t xml:space="preserve">This baseline includes BOTH “salary" and "housing.”
</t>
    </r>
    <r>
      <rPr>
        <sz val="10"/>
        <color theme="1"/>
        <rFont val="Calibri"/>
        <family val="2"/>
        <scheme val="minor"/>
      </rPr>
      <t xml:space="preserve">
The amount designed as “Housing Allowance” by a </t>
    </r>
    <r>
      <rPr>
        <sz val="10"/>
        <rFont val="Calibri"/>
        <family val="2"/>
        <scheme val="minor"/>
      </rPr>
      <t>minister conducting the sacraments may be determined later</t>
    </r>
    <r>
      <rPr>
        <sz val="10"/>
        <color theme="1"/>
        <rFont val="Calibri"/>
        <family val="2"/>
        <scheme val="minor"/>
      </rPr>
      <t>.</t>
    </r>
  </si>
  <si>
    <r>
      <t>For congregations that provide a parsonage, adjustments will be made on another line.  
If a</t>
    </r>
    <r>
      <rPr>
        <sz val="10"/>
        <rFont val="Calibri"/>
        <family val="2"/>
        <scheme val="minor"/>
      </rPr>
      <t xml:space="preserve"> minister is serving less than full-time, it will be tak</t>
    </r>
    <r>
      <rPr>
        <sz val="10"/>
        <color theme="1"/>
        <rFont val="Calibri"/>
        <family val="2"/>
        <scheme val="minor"/>
      </rPr>
      <t>en into account later in in this worksheet.  
[</t>
    </r>
    <r>
      <rPr>
        <i/>
        <sz val="10"/>
        <color theme="1"/>
        <rFont val="Calibri"/>
        <family val="2"/>
        <scheme val="minor"/>
      </rPr>
      <t xml:space="preserve">Baseline AMOUNT A is set by the Synod Assembly is adjusted annually to account for cost of living and other market considerations. </t>
    </r>
    <r>
      <rPr>
        <i/>
        <sz val="10"/>
        <rFont val="Calibri"/>
        <family val="2"/>
        <scheme val="minor"/>
      </rPr>
      <t>See 'Reference Values' worksheet for method of determination.</t>
    </r>
    <r>
      <rPr>
        <sz val="10"/>
        <rFont val="Calibri"/>
        <family val="2"/>
        <scheme val="minor"/>
      </rPr>
      <t>]</t>
    </r>
  </si>
  <si>
    <r>
      <t xml:space="preserve">The Central States Synod covers a diverse area with housing and living costs that vary widely. 
This </t>
    </r>
    <r>
      <rPr>
        <i/>
        <sz val="10"/>
        <color theme="1"/>
        <rFont val="Calibri"/>
        <family val="2"/>
        <scheme val="minor"/>
      </rPr>
      <t xml:space="preserve">adjustment </t>
    </r>
    <r>
      <rPr>
        <sz val="10"/>
        <color theme="1"/>
        <rFont val="Calibri"/>
        <family val="2"/>
        <scheme val="minor"/>
      </rPr>
      <t>to the Baseline is intended to acknowledge that diversity.  It is NOT the housing allowance.</t>
    </r>
  </si>
  <si>
    <r>
      <t xml:space="preserve">The Adjusted Baseline shall be the minimum compensation for a full-time </t>
    </r>
    <r>
      <rPr>
        <sz val="10"/>
        <rFont val="Calibri"/>
        <family val="2"/>
        <scheme val="minor"/>
      </rPr>
      <t>minister in this synod.</t>
    </r>
  </si>
  <si>
    <r>
      <t xml:space="preserve">We acknowledge the value of acquired skills and wisdom that comes from actual </t>
    </r>
    <r>
      <rPr>
        <sz val="10"/>
        <rFont val="Calibri"/>
        <family val="2"/>
        <scheme val="minor"/>
      </rPr>
      <t>ministry experience.</t>
    </r>
  </si>
  <si>
    <r>
      <t xml:space="preserve">Enter one point for each year of service </t>
    </r>
    <r>
      <rPr>
        <sz val="10"/>
        <rFont val="Calibri"/>
        <family val="2"/>
        <scheme val="minor"/>
      </rPr>
      <t>in paid ministry in Box E.</t>
    </r>
  </si>
  <si>
    <r>
      <t xml:space="preserve">We acknowledge the value additional education provides </t>
    </r>
    <r>
      <rPr>
        <sz val="10"/>
        <rFont val="Calibri"/>
        <family val="2"/>
        <scheme val="minor"/>
      </rPr>
      <t xml:space="preserve">ministry </t>
    </r>
    <r>
      <rPr>
        <sz val="10"/>
        <color theme="1"/>
        <rFont val="Calibri"/>
        <family val="2"/>
        <scheme val="minor"/>
      </rPr>
      <t>leaders.</t>
    </r>
  </si>
  <si>
    <r>
      <t>We recognize that the structure of some calls require</t>
    </r>
    <r>
      <rPr>
        <strike/>
        <sz val="10"/>
        <rFont val="Calibri"/>
        <family val="2"/>
        <scheme val="minor"/>
      </rPr>
      <t>s</t>
    </r>
    <r>
      <rPr>
        <sz val="10"/>
        <rFont val="Calibri"/>
        <family val="2"/>
        <scheme val="minor"/>
      </rPr>
      <t xml:space="preserve"> additional expertise and/or work, and some candidates bring additional gifts.</t>
    </r>
  </si>
  <si>
    <r>
      <t xml:space="preserve">Enter 1-3 points for </t>
    </r>
    <r>
      <rPr>
        <i/>
        <sz val="10"/>
        <rFont val="Calibri"/>
        <family val="2"/>
        <scheme val="minor"/>
      </rPr>
      <t xml:space="preserve">each </t>
    </r>
    <r>
      <rPr>
        <sz val="10"/>
        <rFont val="Calibri"/>
        <family val="2"/>
        <scheme val="minor"/>
      </rPr>
      <t>of the following situations:
- Multi-point parish/ministry
- Managing a staff of more than 3 fulltime positions
- Extraordinary merit, excellence, experience</t>
    </r>
  </si>
  <si>
    <t>Total points from service, experience, education, additional responsibilities and gifts.</t>
  </si>
  <si>
    <r>
      <rPr>
        <sz val="10"/>
        <rFont val="Calibri"/>
        <family val="2"/>
        <scheme val="minor"/>
      </rPr>
      <t>The value of points are higher at a lower sum and decrease in value as they accumulate, reflecting the reality that leaders learn at an accelerated rate early in ministry.</t>
    </r>
    <r>
      <rPr>
        <i/>
        <sz val="10"/>
        <rFont val="Calibri"/>
        <family val="2"/>
        <scheme val="minor"/>
      </rPr>
      <t xml:space="preserve">
[AMOUNT L = AMOUNT K x sliding scale]</t>
    </r>
  </si>
  <si>
    <r>
      <t>Enter "Yes" in BOX O if the congregation provides a parsonage to the minister or "No" if not.</t>
    </r>
    <r>
      <rPr>
        <strike/>
        <sz val="10"/>
        <rFont val="Calibri"/>
        <family val="2"/>
        <scheme val="minor"/>
      </rPr>
      <t xml:space="preserve">  </t>
    </r>
    <r>
      <rPr>
        <sz val="10"/>
        <rFont val="Calibri"/>
        <family val="2"/>
        <scheme val="minor"/>
      </rPr>
      <t>[</t>
    </r>
    <r>
      <rPr>
        <i/>
        <sz val="10"/>
        <rFont val="Calibri"/>
        <family val="2"/>
        <scheme val="minor"/>
      </rPr>
      <t>AMOUNT P = AMOUNT N x 0.30 IF parsonage provided]</t>
    </r>
  </si>
  <si>
    <r>
      <t xml:space="preserve">This is the compensation recommended by the Central States Synod Assembly for a full-time minister with the service, experience, education, and responsibilies in your local context.
</t>
    </r>
    <r>
      <rPr>
        <i/>
        <sz val="10"/>
        <rFont val="Calibri"/>
        <family val="2"/>
        <scheme val="minor"/>
      </rPr>
      <t>NOTE:  This does NOT include the Social Security Employment Contribution Allowance (SECA) for clergy, which is calculated below.</t>
    </r>
  </si>
  <si>
    <t xml:space="preserve">Acknowledging the recommended compensation range above, and that no full-time minister shall be compensated below the Adjusted Baseline (AMOUNT D), it is the responsibility of the congregation and rostered leader to together determine the negotiated compensation. </t>
  </si>
  <si>
    <t xml:space="preserve">Enter in BOX Q the Compensation negotiated with the minister in the range noted above.
During conversation, consider the following: 
•  During the past year, has our leader met our mutually established ministry goals? 
•  Are we expecting our minister to take on any significant new responsibilities this year? 
•  Are there any unique financial stresses or circumstances we should address? </t>
  </si>
  <si>
    <r>
      <t xml:space="preserve">Compensation </t>
    </r>
    <r>
      <rPr>
        <sz val="10"/>
        <rFont val="Calibri"/>
        <family val="2"/>
        <scheme val="minor"/>
      </rPr>
      <t>to be paid to a pastor</t>
    </r>
    <r>
      <rPr>
        <sz val="10"/>
        <color theme="1"/>
        <rFont val="Calibri"/>
        <family val="2"/>
        <scheme val="minor"/>
      </rPr>
      <t xml:space="preserve"> (Base + Housing + SECA)</t>
    </r>
  </si>
  <si>
    <t>From AMOUNT S or BOX Q (based on minister type).</t>
  </si>
  <si>
    <t>Enter minister's election here. See Guidelines Section 1, Part B.</t>
  </si>
  <si>
    <t xml:space="preserve">after discussing the amount to be paid to </t>
  </si>
  <si>
    <t>[Enter Minister's Name Here]</t>
  </si>
  <si>
    <t xml:space="preserve">RESOLVED, that </t>
  </si>
  <si>
    <t xml:space="preserve">              a salary of: </t>
  </si>
  <si>
    <r>
      <t xml:space="preserve">THE "MINISTRY LEADER" WORKSHEET MUST BE </t>
    </r>
    <r>
      <rPr>
        <b/>
        <u/>
        <sz val="15.2"/>
        <color rgb="FFC00000"/>
        <rFont val="Calibri"/>
        <family val="2"/>
        <scheme val="minor"/>
      </rPr>
      <t>COMPLETELY FILLED OUT</t>
    </r>
    <r>
      <rPr>
        <b/>
        <sz val="15.2"/>
        <color rgb="FFC00000"/>
        <rFont val="Calibri"/>
        <family val="2"/>
        <scheme val="minor"/>
      </rPr>
      <t xml:space="preserve"> AND </t>
    </r>
    <r>
      <rPr>
        <b/>
        <u/>
        <sz val="15.2"/>
        <color rgb="FFC00000"/>
        <rFont val="Calibri"/>
        <family val="2"/>
        <scheme val="minor"/>
      </rPr>
      <t>ADDITIONAL DATA ENTERED BELOW</t>
    </r>
    <r>
      <rPr>
        <b/>
        <sz val="15.2"/>
        <color rgb="FFC00000"/>
        <rFont val="Calibri"/>
        <family val="2"/>
        <scheme val="minor"/>
      </rPr>
      <t xml:space="preserve"> FOR THE PAYROLL AND W-2 FORMS TO BE ACCURATE</t>
    </r>
  </si>
  <si>
    <t>Annual Pastor Baseline</t>
  </si>
  <si>
    <t>Parsonage Menu</t>
  </si>
  <si>
    <t>Pulpit supply additional service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</si>
</sst>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0000"/>
    <numFmt numFmtId="167" formatCode="0.00000%"/>
    <numFmt numFmtId="168" formatCode="&quot;$&quot;#,##0"/>
  </numFmts>
  <fonts count="65"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sz val="11"/>
      <color rgb="FFFF0000"/>
      <name val="Calibri"/>
      <family val="2"/>
      <scheme val="minor"/>
    </font>
    <font>
      <b/>
      <sz val="14"/>
      <color theme="0"/>
      <name val="Calibri"/>
      <family val="2"/>
      <scheme val="minor"/>
    </font>
    <font>
      <sz val="12"/>
      <color theme="1"/>
      <name val="Calibri"/>
      <family val="2"/>
      <scheme val="minor"/>
    </font>
    <font>
      <sz val="8"/>
      <color rgb="FFFF0000"/>
      <name val="Calibri"/>
      <family val="2"/>
      <scheme val="minor"/>
    </font>
    <font>
      <sz val="14"/>
      <color rgb="FFFF0000"/>
      <name val="Calibri"/>
      <family val="2"/>
      <scheme val="minor"/>
    </font>
    <font>
      <b/>
      <sz val="14"/>
      <color rgb="FFFF0000"/>
      <name val="Calibri"/>
      <family val="2"/>
      <scheme val="minor"/>
    </font>
    <font>
      <u/>
      <sz val="14"/>
      <color rgb="FFFF0000"/>
      <name val="Calibri"/>
      <family val="2"/>
      <scheme val="minor"/>
    </font>
    <font>
      <b/>
      <sz val="9"/>
      <color rgb="FFFF0000"/>
      <name val="Calibri"/>
      <family val="2"/>
      <scheme val="minor"/>
    </font>
    <font>
      <b/>
      <sz val="12"/>
      <color rgb="FFFF0000"/>
      <name val="Calibri"/>
      <family val="2"/>
      <scheme val="minor"/>
    </font>
    <font>
      <b/>
      <sz val="14"/>
      <color theme="1"/>
      <name val="Calibri"/>
      <family val="2"/>
      <scheme val="minor"/>
    </font>
    <font>
      <b/>
      <sz val="12"/>
      <name val="Calibri"/>
      <family val="2"/>
      <scheme val="minor"/>
    </font>
    <font>
      <sz val="10"/>
      <name val="Calibri"/>
      <family val="2"/>
      <scheme val="minor"/>
    </font>
    <font>
      <i/>
      <sz val="10"/>
      <name val="Calibri"/>
      <family val="2"/>
      <scheme val="minor"/>
    </font>
    <font>
      <i/>
      <sz val="11"/>
      <color theme="1"/>
      <name val="Calibri"/>
      <family val="2"/>
      <scheme val="minor"/>
    </font>
    <font>
      <b/>
      <sz val="12"/>
      <color rgb="FF0070C0"/>
      <name val="Calibri"/>
      <family val="2"/>
      <scheme val="minor"/>
    </font>
    <font>
      <sz val="12"/>
      <color rgb="FF0070C0"/>
      <name val="Calibri"/>
      <family val="2"/>
      <scheme val="minor"/>
    </font>
    <font>
      <i/>
      <sz val="12"/>
      <color rgb="FF0070C0"/>
      <name val="Calibri"/>
      <family val="2"/>
      <scheme val="minor"/>
    </font>
    <font>
      <b/>
      <sz val="12"/>
      <color rgb="FFC00000"/>
      <name val="Calibri"/>
      <family val="2"/>
      <scheme val="minor"/>
    </font>
    <font>
      <b/>
      <sz val="12"/>
      <color rgb="FF057B3A"/>
      <name val="Calibri"/>
      <family val="2"/>
      <scheme val="minor"/>
    </font>
    <font>
      <b/>
      <sz val="17.5"/>
      <color rgb="FFC00000"/>
      <name val="Calibri"/>
      <family val="2"/>
      <scheme val="minor"/>
    </font>
    <font>
      <u/>
      <sz val="11"/>
      <color theme="10"/>
      <name val="Calibri"/>
      <family val="2"/>
      <scheme val="minor"/>
    </font>
    <font>
      <b/>
      <sz val="20"/>
      <color theme="1"/>
      <name val="Calibri"/>
      <family val="2"/>
      <scheme val="minor"/>
    </font>
    <font>
      <b/>
      <sz val="19"/>
      <color theme="1"/>
      <name val="Calibri"/>
      <family val="2"/>
      <scheme val="minor"/>
    </font>
    <font>
      <sz val="11"/>
      <color rgb="FFFF0000"/>
      <name val="Calibri"/>
      <family val="2"/>
      <scheme val="minor"/>
    </font>
    <font>
      <b/>
      <sz val="18"/>
      <color theme="1"/>
      <name val="Calibri"/>
      <family val="2"/>
      <scheme val="minor"/>
    </font>
    <font>
      <sz val="18"/>
      <color theme="1"/>
      <name val="Calibri"/>
      <family val="2"/>
      <scheme val="minor"/>
    </font>
    <font>
      <b/>
      <sz val="12"/>
      <color theme="0"/>
      <name val="Calibri"/>
      <family val="2"/>
      <scheme val="minor"/>
    </font>
    <font>
      <i/>
      <sz val="12"/>
      <color theme="0"/>
      <name val="Calibri"/>
      <family val="2"/>
      <scheme val="minor"/>
    </font>
    <font>
      <sz val="8"/>
      <color theme="1"/>
      <name val="Calibri"/>
      <family val="2"/>
      <scheme val="minor"/>
    </font>
    <font>
      <b/>
      <sz val="12"/>
      <color rgb="FF000000"/>
      <name val="Calibri"/>
      <family val="2"/>
      <scheme val="minor"/>
    </font>
    <font>
      <sz val="12"/>
      <color rgb="FF000000"/>
      <name val="Calibri"/>
      <family val="2"/>
      <scheme val="minor"/>
    </font>
    <font>
      <i/>
      <sz val="8"/>
      <color theme="5" tint="0.39997558519241921"/>
      <name val="Calibri"/>
      <family val="2"/>
      <scheme val="minor"/>
    </font>
    <font>
      <sz val="12"/>
      <color theme="0"/>
      <name val="Calibri"/>
      <family val="2"/>
      <scheme val="minor"/>
    </font>
    <font>
      <sz val="8"/>
      <color theme="0"/>
      <name val="Calibri"/>
      <family val="2"/>
      <scheme val="minor"/>
    </font>
    <font>
      <i/>
      <sz val="12"/>
      <color theme="1"/>
      <name val="Calibri"/>
      <family val="2"/>
      <scheme val="minor"/>
    </font>
    <font>
      <sz val="12"/>
      <name val="Calibri"/>
      <family val="2"/>
      <scheme val="minor"/>
    </font>
    <font>
      <i/>
      <sz val="12"/>
      <name val="Calibri"/>
      <family val="2"/>
      <scheme val="minor"/>
    </font>
    <font>
      <sz val="6"/>
      <color theme="1"/>
      <name val="Calibri"/>
      <family val="2"/>
      <scheme val="minor"/>
    </font>
    <font>
      <b/>
      <i/>
      <sz val="11"/>
      <color theme="1"/>
      <name val="Calibri"/>
      <family val="2"/>
      <scheme val="minor"/>
    </font>
    <font>
      <i/>
      <sz val="9"/>
      <color theme="1"/>
      <name val="Calibri"/>
      <family val="2"/>
      <scheme val="minor"/>
    </font>
    <font>
      <b/>
      <i/>
      <sz val="11"/>
      <color rgb="FF0070C0"/>
      <name val="Calibri"/>
      <family val="2"/>
      <scheme val="minor"/>
    </font>
    <font>
      <sz val="12"/>
      <color rgb="FF000000"/>
      <name val="Calibri"/>
      <family val="2"/>
    </font>
    <font>
      <i/>
      <sz val="11"/>
      <color theme="5" tint="-0.249977111117893"/>
      <name val="Calibri"/>
      <family val="2"/>
      <scheme val="minor"/>
    </font>
    <font>
      <b/>
      <i/>
      <sz val="11"/>
      <color theme="5" tint="-0.249977111117893"/>
      <name val="Calibri"/>
      <family val="2"/>
      <scheme val="minor"/>
    </font>
    <font>
      <b/>
      <sz val="14"/>
      <color theme="5" tint="-0.249977111117893"/>
      <name val="Calibri"/>
      <family val="2"/>
      <scheme val="minor"/>
    </font>
    <font>
      <b/>
      <sz val="15.2"/>
      <color rgb="FFC00000"/>
      <name val="Calibri"/>
      <family val="2"/>
      <scheme val="minor"/>
    </font>
    <font>
      <b/>
      <u/>
      <sz val="15.2"/>
      <color rgb="FFC00000"/>
      <name val="Calibri"/>
      <family val="2"/>
      <scheme val="minor"/>
    </font>
    <font>
      <i/>
      <sz val="11"/>
      <name val="Calibri"/>
      <family val="2"/>
      <scheme val="minor"/>
    </font>
    <font>
      <i/>
      <u/>
      <sz val="11"/>
      <name val="Calibri"/>
      <family val="2"/>
      <scheme val="minor"/>
    </font>
    <font>
      <u/>
      <sz val="10"/>
      <color theme="1"/>
      <name val="Calibri"/>
      <family val="2"/>
      <scheme val="minor"/>
    </font>
    <font>
      <b/>
      <i/>
      <sz val="12"/>
      <color rgb="FFFF0000"/>
      <name val="Calibri"/>
      <family val="2"/>
      <scheme val="minor"/>
    </font>
    <font>
      <strike/>
      <sz val="10"/>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2" tint="-0.249977111117893"/>
        <bgColor indexed="64"/>
      </patternFill>
    </fill>
  </fills>
  <borders count="123">
    <border>
      <left/>
      <right/>
      <top/>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medium">
        <color auto="1"/>
      </left>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auto="1"/>
      </left>
      <right style="thin">
        <color theme="0" tint="-0.24994659260841701"/>
      </right>
      <top style="medium">
        <color indexed="64"/>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auto="1"/>
      </left>
      <right style="thin">
        <color theme="0" tint="-0.24994659260841701"/>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thin">
        <color theme="1"/>
      </left>
      <right style="thin">
        <color theme="1"/>
      </right>
      <top style="thin">
        <color theme="1"/>
      </top>
      <bottom style="thin">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theme="1"/>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thin">
        <color indexed="64"/>
      </left>
      <right style="medium">
        <color theme="1"/>
      </right>
      <top/>
      <bottom/>
      <diagonal/>
    </border>
    <border>
      <left style="medium">
        <color theme="1"/>
      </left>
      <right style="thin">
        <color theme="1"/>
      </right>
      <top style="thin">
        <color theme="1"/>
      </top>
      <bottom/>
      <diagonal/>
    </border>
    <border>
      <left style="thin">
        <color theme="1"/>
      </left>
      <right style="medium">
        <color theme="1"/>
      </right>
      <top style="thin">
        <color theme="1"/>
      </top>
      <bottom style="thin">
        <color theme="1"/>
      </bottom>
      <diagonal/>
    </border>
    <border>
      <left style="medium">
        <color theme="1"/>
      </left>
      <right style="thin">
        <color theme="1"/>
      </right>
      <top/>
      <bottom style="thin">
        <color theme="1"/>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bottom/>
      <diagonal/>
    </border>
    <border>
      <left style="medium">
        <color theme="1"/>
      </left>
      <right style="thin">
        <color indexed="64"/>
      </right>
      <top/>
      <bottom style="medium">
        <color theme="1"/>
      </bottom>
      <diagonal/>
    </border>
    <border>
      <left style="thin">
        <color indexed="64"/>
      </left>
      <right/>
      <top/>
      <bottom style="medium">
        <color theme="1"/>
      </bottom>
      <diagonal/>
    </border>
    <border>
      <left/>
      <right style="thin">
        <color indexed="64"/>
      </right>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theme="5" tint="-0.24994659260841701"/>
      </left>
      <right style="medium">
        <color theme="5" tint="-0.24994659260841701"/>
      </right>
      <top style="medium">
        <color theme="5" tint="-0.24994659260841701"/>
      </top>
      <bottom style="medium">
        <color theme="5" tint="-0.24994659260841701"/>
      </bottom>
      <diagonal/>
    </border>
    <border>
      <left style="medium">
        <color auto="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theme="0" tint="-0.24994659260841701"/>
      </left>
      <right style="medium">
        <color indexed="64"/>
      </right>
      <top style="medium">
        <color indexed="64"/>
      </top>
      <bottom style="thin">
        <color theme="0" tint="-0.24994659260841701"/>
      </bottom>
      <diagonal/>
    </border>
    <border>
      <left style="medium">
        <color auto="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44" fontId="7" fillId="0" borderId="0" applyFont="0" applyFill="0" applyBorder="0" applyAlignment="0" applyProtection="0"/>
    <xf numFmtId="9" fontId="7" fillId="0" borderId="0" applyFont="0" applyFill="0" applyBorder="0" applyAlignment="0" applyProtection="0"/>
    <xf numFmtId="0" fontId="33" fillId="0" borderId="0" applyNumberFormat="0" applyFill="0" applyBorder="0" applyAlignment="0" applyProtection="0"/>
    <xf numFmtId="43" fontId="7" fillId="0" borderId="0" applyFont="0" applyFill="0" applyBorder="0" applyAlignment="0" applyProtection="0"/>
  </cellStyleXfs>
  <cellXfs count="514">
    <xf numFmtId="0" fontId="0" fillId="0" borderId="0" xfId="0"/>
    <xf numFmtId="164" fontId="0" fillId="0" borderId="0" xfId="0" applyNumberFormat="1" applyAlignment="1">
      <alignment horizontal="center"/>
    </xf>
    <xf numFmtId="165" fontId="0" fillId="0" borderId="0" xfId="0" applyNumberFormat="1" applyAlignment="1">
      <alignment horizontal="center"/>
    </xf>
    <xf numFmtId="164" fontId="3" fillId="0" borderId="0" xfId="0" applyNumberFormat="1" applyFont="1" applyAlignment="1">
      <alignment horizontal="center"/>
    </xf>
    <xf numFmtId="0" fontId="0" fillId="0" borderId="0" xfId="0" applyAlignment="1">
      <alignment horizontal="right"/>
    </xf>
    <xf numFmtId="164" fontId="0" fillId="0" borderId="0" xfId="0" applyNumberFormat="1"/>
    <xf numFmtId="0" fontId="14" fillId="4" borderId="23" xfId="0" applyFont="1" applyFill="1" applyBorder="1" applyAlignment="1">
      <alignment vertical="center"/>
    </xf>
    <xf numFmtId="0" fontId="9" fillId="4" borderId="26" xfId="0" applyFont="1" applyFill="1" applyBorder="1" applyAlignment="1">
      <alignment horizontal="right"/>
    </xf>
    <xf numFmtId="0" fontId="3" fillId="0" borderId="13" xfId="0" applyFont="1" applyBorder="1" applyAlignment="1">
      <alignment horizontal="right"/>
    </xf>
    <xf numFmtId="0" fontId="4" fillId="0" borderId="2" xfId="0" applyFont="1" applyBorder="1" applyAlignment="1">
      <alignment horizontal="center" vertical="top" wrapText="1"/>
    </xf>
    <xf numFmtId="164" fontId="0" fillId="0" borderId="16" xfId="0" applyNumberFormat="1" applyBorder="1"/>
    <xf numFmtId="0" fontId="3" fillId="0" borderId="2" xfId="0" applyFont="1" applyBorder="1" applyAlignment="1">
      <alignment horizontal="right"/>
    </xf>
    <xf numFmtId="164" fontId="0" fillId="2" borderId="16" xfId="1" applyNumberFormat="1" applyFont="1" applyFill="1" applyBorder="1" applyAlignment="1" applyProtection="1">
      <alignment horizontal="right"/>
    </xf>
    <xf numFmtId="164" fontId="0" fillId="2" borderId="16" xfId="0" applyNumberFormat="1" applyFill="1" applyBorder="1"/>
    <xf numFmtId="0" fontId="4" fillId="0" borderId="18" xfId="0" applyFont="1" applyBorder="1" applyAlignment="1">
      <alignment horizontal="center" vertical="top" wrapText="1"/>
    </xf>
    <xf numFmtId="0" fontId="14" fillId="4" borderId="23" xfId="0" applyFont="1" applyFill="1" applyBorder="1" applyAlignment="1">
      <alignment horizontal="left" vertical="center"/>
    </xf>
    <xf numFmtId="0" fontId="9" fillId="4" borderId="26" xfId="0" applyFont="1" applyFill="1" applyBorder="1" applyAlignment="1">
      <alignment horizontal="right" vertical="top"/>
    </xf>
    <xf numFmtId="164" fontId="9" fillId="4" borderId="27" xfId="0" applyNumberFormat="1" applyFont="1" applyFill="1" applyBorder="1" applyAlignment="1">
      <alignment vertical="top"/>
    </xf>
    <xf numFmtId="0" fontId="3" fillId="0" borderId="8" xfId="0" applyFont="1" applyBorder="1" applyAlignment="1">
      <alignment horizontal="right"/>
    </xf>
    <xf numFmtId="0" fontId="13" fillId="0" borderId="0" xfId="0" applyFont="1"/>
    <xf numFmtId="1" fontId="0" fillId="0" borderId="16" xfId="0" applyNumberFormat="1" applyBorder="1"/>
    <xf numFmtId="165" fontId="0" fillId="2" borderId="16" xfId="0" applyNumberFormat="1" applyFill="1" applyBorder="1"/>
    <xf numFmtId="165" fontId="0" fillId="2" borderId="16" xfId="1" applyNumberFormat="1" applyFont="1" applyFill="1" applyBorder="1" applyAlignment="1" applyProtection="1">
      <alignment horizontal="right"/>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right" vertical="top" wrapText="1"/>
    </xf>
    <xf numFmtId="164" fontId="5" fillId="0" borderId="0" xfId="0" applyNumberFormat="1" applyFont="1"/>
    <xf numFmtId="0" fontId="14" fillId="4" borderId="23" xfId="0" applyFont="1" applyFill="1" applyBorder="1" applyAlignment="1">
      <alignment horizontal="left" vertical="center" wrapText="1"/>
    </xf>
    <xf numFmtId="0" fontId="8" fillId="4" borderId="26" xfId="0" applyFont="1" applyFill="1" applyBorder="1" applyAlignment="1">
      <alignment horizontal="right"/>
    </xf>
    <xf numFmtId="164" fontId="8" fillId="4" borderId="27" xfId="0" applyNumberFormat="1" applyFont="1" applyFill="1" applyBorder="1"/>
    <xf numFmtId="1" fontId="0" fillId="3" borderId="16" xfId="0" applyNumberFormat="1" applyFill="1" applyBorder="1" applyAlignment="1" applyProtection="1">
      <alignment horizontal="right"/>
      <protection locked="0"/>
    </xf>
    <xf numFmtId="1" fontId="0" fillId="3" borderId="16" xfId="0" applyNumberFormat="1" applyFill="1" applyBorder="1" applyProtection="1">
      <protection locked="0"/>
    </xf>
    <xf numFmtId="165" fontId="0" fillId="3" borderId="16" xfId="0" applyNumberFormat="1" applyFill="1" applyBorder="1" applyProtection="1">
      <protection locked="0"/>
    </xf>
    <xf numFmtId="164" fontId="3" fillId="3" borderId="14" xfId="0" applyNumberFormat="1" applyFont="1" applyFill="1" applyBorder="1" applyAlignment="1" applyProtection="1">
      <alignment horizontal="right" vertical="top"/>
      <protection locked="0"/>
    </xf>
    <xf numFmtId="164" fontId="0" fillId="2" borderId="22" xfId="1" applyNumberFormat="1" applyFont="1" applyFill="1" applyBorder="1" applyProtection="1"/>
    <xf numFmtId="0" fontId="0" fillId="0" borderId="31" xfId="0" applyBorder="1" applyAlignment="1">
      <alignment horizontal="left"/>
    </xf>
    <xf numFmtId="0" fontId="4" fillId="0" borderId="0" xfId="0" applyFont="1" applyAlignment="1">
      <alignment vertical="top" wrapText="1"/>
    </xf>
    <xf numFmtId="164" fontId="16" fillId="0" borderId="16" xfId="0" applyNumberFormat="1" applyFont="1" applyBorder="1" applyAlignment="1">
      <alignment horizontal="center" vertical="top" wrapText="1"/>
    </xf>
    <xf numFmtId="164" fontId="16" fillId="0" borderId="19" xfId="0" applyNumberFormat="1" applyFont="1" applyBorder="1" applyAlignment="1">
      <alignment horizontal="center" vertical="top" wrapText="1"/>
    </xf>
    <xf numFmtId="164" fontId="20" fillId="0" borderId="16" xfId="0" applyNumberFormat="1" applyFont="1" applyBorder="1" applyAlignment="1">
      <alignment horizontal="center" vertical="top" wrapText="1"/>
    </xf>
    <xf numFmtId="0" fontId="0" fillId="0" borderId="18" xfId="0" applyBorder="1" applyAlignment="1">
      <alignment horizontal="right" vertical="top"/>
    </xf>
    <xf numFmtId="164" fontId="3" fillId="2" borderId="14" xfId="0" applyNumberFormat="1" applyFont="1" applyFill="1" applyBorder="1"/>
    <xf numFmtId="164" fontId="8" fillId="4" borderId="27" xfId="0" applyNumberFormat="1" applyFont="1" applyFill="1" applyBorder="1" applyAlignment="1">
      <alignment horizontal="center" vertical="center"/>
    </xf>
    <xf numFmtId="0" fontId="3" fillId="0" borderId="5" xfId="0" applyFont="1" applyBorder="1" applyAlignment="1">
      <alignment horizontal="right"/>
    </xf>
    <xf numFmtId="1" fontId="0" fillId="0" borderId="22" xfId="0" applyNumberFormat="1" applyBorder="1"/>
    <xf numFmtId="165" fontId="0" fillId="3" borderId="41" xfId="0" applyNumberFormat="1" applyFill="1" applyBorder="1" applyProtection="1">
      <protection locked="0"/>
    </xf>
    <xf numFmtId="0" fontId="15" fillId="0" borderId="0" xfId="0" applyFont="1"/>
    <xf numFmtId="0" fontId="15" fillId="0" borderId="0" xfId="0" applyFont="1" applyAlignment="1">
      <alignment horizontal="right"/>
    </xf>
    <xf numFmtId="164" fontId="15" fillId="0" borderId="0" xfId="0" applyNumberFormat="1" applyFont="1"/>
    <xf numFmtId="164" fontId="15" fillId="0" borderId="46" xfId="0" applyNumberFormat="1" applyFont="1" applyBorder="1"/>
    <xf numFmtId="0" fontId="15" fillId="0" borderId="30" xfId="0" applyFont="1" applyBorder="1" applyAlignment="1">
      <alignment horizontal="center"/>
    </xf>
    <xf numFmtId="164" fontId="10" fillId="0" borderId="0" xfId="0" applyNumberFormat="1" applyFont="1" applyAlignment="1">
      <alignment horizontal="right"/>
    </xf>
    <xf numFmtId="164" fontId="10" fillId="0" borderId="45" xfId="0" applyNumberFormat="1" applyFont="1" applyBorder="1"/>
    <xf numFmtId="0" fontId="10" fillId="0" borderId="31" xfId="0" applyFont="1" applyBorder="1" applyAlignment="1">
      <alignment horizontal="center"/>
    </xf>
    <xf numFmtId="0" fontId="3" fillId="8" borderId="13" xfId="0" applyFont="1" applyFill="1" applyBorder="1" applyAlignment="1">
      <alignment horizontal="right"/>
    </xf>
    <xf numFmtId="0" fontId="4" fillId="8" borderId="18" xfId="0" applyFont="1" applyFill="1" applyBorder="1" applyAlignment="1">
      <alignment horizontal="center" vertical="top" wrapText="1"/>
    </xf>
    <xf numFmtId="164" fontId="16" fillId="8" borderId="19" xfId="0" applyNumberFormat="1" applyFont="1" applyFill="1" applyBorder="1" applyAlignment="1">
      <alignment horizontal="center" wrapText="1"/>
    </xf>
    <xf numFmtId="0" fontId="3" fillId="8" borderId="13" xfId="0" applyFont="1" applyFill="1" applyBorder="1" applyAlignment="1">
      <alignment horizontal="right" vertical="top" wrapText="1"/>
    </xf>
    <xf numFmtId="0" fontId="3" fillId="8" borderId="8" xfId="0" applyFont="1" applyFill="1" applyBorder="1" applyAlignment="1">
      <alignment horizontal="right" vertical="center" wrapText="1"/>
    </xf>
    <xf numFmtId="0" fontId="3" fillId="8" borderId="2" xfId="0" applyFont="1" applyFill="1" applyBorder="1" applyAlignment="1">
      <alignment horizontal="right" vertical="center" wrapText="1"/>
    </xf>
    <xf numFmtId="0" fontId="10" fillId="7" borderId="0" xfId="0" applyFont="1" applyFill="1"/>
    <xf numFmtId="164" fontId="10" fillId="7" borderId="0" xfId="0" applyNumberFormat="1" applyFont="1" applyFill="1" applyAlignment="1">
      <alignment horizontal="left"/>
    </xf>
    <xf numFmtId="0" fontId="10" fillId="0" borderId="0" xfId="0" applyFont="1" applyAlignment="1">
      <alignment horizontal="center"/>
    </xf>
    <xf numFmtId="164" fontId="3" fillId="7" borderId="14" xfId="0" applyNumberFormat="1" applyFont="1" applyFill="1" applyBorder="1"/>
    <xf numFmtId="0" fontId="3" fillId="0" borderId="42" xfId="0" applyFont="1" applyBorder="1"/>
    <xf numFmtId="0" fontId="3" fillId="0" borderId="43" xfId="0" applyFont="1" applyBorder="1"/>
    <xf numFmtId="0" fontId="23" fillId="5" borderId="32" xfId="0" applyFont="1" applyFill="1" applyBorder="1" applyAlignment="1">
      <alignment horizontal="left" vertical="top" wrapText="1"/>
    </xf>
    <xf numFmtId="0" fontId="24" fillId="5" borderId="32" xfId="0" applyFont="1" applyFill="1" applyBorder="1" applyAlignment="1">
      <alignment horizontal="left" vertical="top" wrapText="1"/>
    </xf>
    <xf numFmtId="164" fontId="6" fillId="5" borderId="32" xfId="0" applyNumberFormat="1" applyFont="1" applyFill="1" applyBorder="1"/>
    <xf numFmtId="164" fontId="3" fillId="0" borderId="42" xfId="0" applyNumberFormat="1" applyFont="1" applyBorder="1" applyProtection="1">
      <protection locked="0"/>
    </xf>
    <xf numFmtId="0" fontId="10" fillId="0" borderId="31" xfId="0" applyFont="1" applyBorder="1" applyAlignment="1">
      <alignment horizontal="left"/>
    </xf>
    <xf numFmtId="0" fontId="22" fillId="0" borderId="0" xfId="0" applyFont="1" applyAlignment="1">
      <alignment horizontal="right"/>
    </xf>
    <xf numFmtId="0" fontId="3" fillId="0" borderId="37" xfId="0" applyFont="1" applyBorder="1"/>
    <xf numFmtId="0" fontId="3" fillId="0" borderId="29" xfId="0" applyFont="1" applyBorder="1"/>
    <xf numFmtId="0" fontId="0" fillId="0" borderId="49" xfId="0" applyBorder="1"/>
    <xf numFmtId="165" fontId="6" fillId="0" borderId="37" xfId="0" applyNumberFormat="1" applyFont="1" applyBorder="1" applyAlignment="1">
      <alignment horizontal="center"/>
    </xf>
    <xf numFmtId="164" fontId="6" fillId="0" borderId="32" xfId="0" applyNumberFormat="1" applyFont="1" applyBorder="1" applyAlignment="1">
      <alignment horizontal="center"/>
    </xf>
    <xf numFmtId="164" fontId="6" fillId="0" borderId="38" xfId="0" applyNumberFormat="1" applyFont="1" applyBorder="1" applyAlignment="1">
      <alignment horizontal="center"/>
    </xf>
    <xf numFmtId="165" fontId="0" fillId="0" borderId="50" xfId="0" applyNumberFormat="1" applyBorder="1" applyAlignment="1">
      <alignment horizontal="center"/>
    </xf>
    <xf numFmtId="165" fontId="0" fillId="0" borderId="51" xfId="0" applyNumberFormat="1" applyBorder="1" applyAlignment="1">
      <alignment horizontal="center"/>
    </xf>
    <xf numFmtId="165" fontId="0" fillId="0" borderId="53" xfId="0" applyNumberFormat="1" applyBorder="1" applyAlignment="1">
      <alignment horizontal="center"/>
    </xf>
    <xf numFmtId="0" fontId="0" fillId="0" borderId="51" xfId="0" applyBorder="1"/>
    <xf numFmtId="0" fontId="0" fillId="0" borderId="53" xfId="0" applyBorder="1"/>
    <xf numFmtId="0" fontId="0" fillId="0" borderId="55" xfId="0" applyBorder="1"/>
    <xf numFmtId="0" fontId="0" fillId="0" borderId="56" xfId="0" applyBorder="1"/>
    <xf numFmtId="165" fontId="0" fillId="0" borderId="52" xfId="0" applyNumberFormat="1" applyBorder="1"/>
    <xf numFmtId="165" fontId="0" fillId="0" borderId="54" xfId="0" applyNumberFormat="1" applyBorder="1"/>
    <xf numFmtId="164" fontId="0" fillId="0" borderId="54" xfId="0" applyNumberFormat="1" applyBorder="1"/>
    <xf numFmtId="0" fontId="0" fillId="2" borderId="0" xfId="0" applyFill="1"/>
    <xf numFmtId="0" fontId="0" fillId="0" borderId="0" xfId="0" quotePrefix="1"/>
    <xf numFmtId="0" fontId="3" fillId="0" borderId="0" xfId="0" quotePrefix="1" applyFont="1"/>
    <xf numFmtId="0" fontId="0" fillId="9" borderId="0" xfId="0" applyFill="1"/>
    <xf numFmtId="164" fontId="0" fillId="9" borderId="52" xfId="0" applyNumberFormat="1" applyFill="1" applyBorder="1"/>
    <xf numFmtId="0" fontId="0" fillId="3" borderId="0" xfId="0" applyFill="1"/>
    <xf numFmtId="0" fontId="12" fillId="0" borderId="7" xfId="0" applyFont="1" applyBorder="1" applyAlignment="1">
      <alignment horizontal="left" vertical="top" wrapText="1"/>
    </xf>
    <xf numFmtId="0" fontId="3" fillId="0" borderId="7" xfId="0" applyFont="1" applyBorder="1" applyAlignment="1">
      <alignment horizontal="right"/>
    </xf>
    <xf numFmtId="0" fontId="3" fillId="0" borderId="63" xfId="0" applyFont="1" applyBorder="1" applyAlignment="1">
      <alignment horizontal="right"/>
    </xf>
    <xf numFmtId="0" fontId="0" fillId="0" borderId="58" xfId="0" applyBorder="1"/>
    <xf numFmtId="0" fontId="0" fillId="0" borderId="59" xfId="0" applyBorder="1"/>
    <xf numFmtId="0" fontId="0" fillId="0" borderId="60" xfId="0" applyBorder="1"/>
    <xf numFmtId="0" fontId="0" fillId="0" borderId="59" xfId="0" quotePrefix="1" applyBorder="1" applyAlignment="1">
      <alignment horizontal="left"/>
    </xf>
    <xf numFmtId="0" fontId="0" fillId="0" borderId="61" xfId="0" quotePrefix="1" applyBorder="1" applyAlignment="1">
      <alignment horizontal="left"/>
    </xf>
    <xf numFmtId="0" fontId="0" fillId="0" borderId="62" xfId="0" applyBorder="1"/>
    <xf numFmtId="0" fontId="3" fillId="0" borderId="64" xfId="0" applyFont="1" applyBorder="1"/>
    <xf numFmtId="0" fontId="0" fillId="0" borderId="65" xfId="0" applyBorder="1"/>
    <xf numFmtId="0" fontId="0" fillId="0" borderId="57" xfId="0" applyBorder="1"/>
    <xf numFmtId="0" fontId="3" fillId="0" borderId="67" xfId="0" applyFont="1" applyBorder="1" applyAlignment="1">
      <alignment horizontal="right"/>
    </xf>
    <xf numFmtId="0" fontId="14" fillId="4" borderId="47" xfId="0" applyFont="1" applyFill="1" applyBorder="1" applyAlignment="1">
      <alignment horizontal="left" vertical="center" wrapText="1"/>
    </xf>
    <xf numFmtId="0" fontId="8" fillId="4" borderId="36" xfId="0" applyFont="1" applyFill="1" applyBorder="1" applyAlignment="1">
      <alignment horizontal="right"/>
    </xf>
    <xf numFmtId="164" fontId="8" fillId="4" borderId="48" xfId="0" applyNumberFormat="1" applyFont="1" applyFill="1" applyBorder="1"/>
    <xf numFmtId="0" fontId="12" fillId="0" borderId="70" xfId="0" applyFont="1" applyBorder="1" applyAlignment="1">
      <alignment horizontal="left" vertical="top" wrapText="1"/>
    </xf>
    <xf numFmtId="0" fontId="3" fillId="0" borderId="70" xfId="0" applyFont="1" applyBorder="1" applyAlignment="1">
      <alignment horizontal="right"/>
    </xf>
    <xf numFmtId="164" fontId="0" fillId="2" borderId="71" xfId="0" applyNumberFormat="1" applyFill="1" applyBorder="1"/>
    <xf numFmtId="164" fontId="0" fillId="2" borderId="72" xfId="0" applyNumberFormat="1" applyFill="1" applyBorder="1"/>
    <xf numFmtId="164" fontId="0" fillId="2" borderId="77" xfId="0" applyNumberFormat="1" applyFill="1" applyBorder="1"/>
    <xf numFmtId="1" fontId="0" fillId="3" borderId="79" xfId="0" applyNumberFormat="1" applyFill="1" applyBorder="1" applyAlignment="1" applyProtection="1">
      <alignment horizontal="right"/>
      <protection locked="0"/>
    </xf>
    <xf numFmtId="164" fontId="0" fillId="2" borderId="79" xfId="1" applyNumberFormat="1" applyFont="1" applyFill="1" applyBorder="1" applyAlignment="1" applyProtection="1">
      <alignment horizontal="right"/>
    </xf>
    <xf numFmtId="164" fontId="3" fillId="7" borderId="77" xfId="0" applyNumberFormat="1" applyFont="1" applyFill="1" applyBorder="1" applyAlignment="1">
      <alignment vertical="center"/>
    </xf>
    <xf numFmtId="0" fontId="3" fillId="8" borderId="84" xfId="0" applyFont="1" applyFill="1" applyBorder="1" applyAlignment="1">
      <alignment horizontal="right" vertical="center" wrapText="1"/>
    </xf>
    <xf numFmtId="164" fontId="3" fillId="7" borderId="85" xfId="0" applyNumberFormat="1" applyFont="1" applyFill="1" applyBorder="1" applyAlignment="1">
      <alignment vertical="center"/>
    </xf>
    <xf numFmtId="164" fontId="16" fillId="0" borderId="79" xfId="0" applyNumberFormat="1" applyFont="1" applyBorder="1" applyAlignment="1">
      <alignment horizontal="center" vertical="center" wrapText="1"/>
    </xf>
    <xf numFmtId="164" fontId="16" fillId="0" borderId="74" xfId="0" applyNumberFormat="1" applyFont="1" applyBorder="1" applyAlignment="1">
      <alignment horizontal="center" vertical="center" wrapText="1"/>
    </xf>
    <xf numFmtId="0" fontId="0" fillId="0" borderId="0" xfId="0" applyAlignment="1">
      <alignment horizontal="center"/>
    </xf>
    <xf numFmtId="10" fontId="0" fillId="0" borderId="0" xfId="2" applyNumberFormat="1" applyFont="1" applyBorder="1" applyAlignment="1">
      <alignment horizontal="center"/>
    </xf>
    <xf numFmtId="164" fontId="0" fillId="3" borderId="74" xfId="0" applyNumberFormat="1" applyFill="1" applyBorder="1" applyAlignment="1" applyProtection="1">
      <alignment horizontal="right"/>
      <protection locked="0"/>
    </xf>
    <xf numFmtId="14" fontId="2" fillId="3" borderId="44" xfId="0" applyNumberFormat="1" applyFont="1" applyFill="1" applyBorder="1" applyAlignment="1" applyProtection="1">
      <alignment horizontal="center"/>
      <protection locked="0"/>
    </xf>
    <xf numFmtId="166" fontId="0" fillId="0" borderId="0" xfId="0" applyNumberFormat="1"/>
    <xf numFmtId="10" fontId="0" fillId="3" borderId="0" xfId="2" applyNumberFormat="1"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0" fontId="0" fillId="3" borderId="31" xfId="2" applyNumberFormat="1" applyFont="1" applyFill="1" applyBorder="1" applyAlignment="1">
      <alignment horizontal="center"/>
    </xf>
    <xf numFmtId="44" fontId="0" fillId="0" borderId="0" xfId="0" applyNumberFormat="1"/>
    <xf numFmtId="10" fontId="6" fillId="5" borderId="31" xfId="2" applyNumberFormat="1" applyFont="1" applyFill="1" applyBorder="1" applyAlignment="1">
      <alignment horizontal="center" vertical="center" wrapText="1"/>
    </xf>
    <xf numFmtId="10" fontId="6" fillId="5" borderId="46" xfId="2" applyNumberFormat="1" applyFont="1" applyFill="1" applyBorder="1" applyAlignment="1">
      <alignment horizontal="center" vertical="center" wrapText="1"/>
    </xf>
    <xf numFmtId="10" fontId="0" fillId="5" borderId="0" xfId="2" applyNumberFormat="1" applyFont="1" applyFill="1" applyBorder="1" applyAlignment="1">
      <alignment horizontal="center"/>
    </xf>
    <xf numFmtId="44" fontId="0" fillId="5" borderId="0" xfId="1" applyFont="1" applyFill="1" applyBorder="1" applyAlignment="1">
      <alignment horizontal="center"/>
    </xf>
    <xf numFmtId="44" fontId="0" fillId="5" borderId="45" xfId="1" applyFont="1" applyFill="1" applyBorder="1" applyAlignment="1">
      <alignment horizontal="center"/>
    </xf>
    <xf numFmtId="10" fontId="0" fillId="2" borderId="0" xfId="2" applyNumberFormat="1" applyFont="1" applyFill="1" applyBorder="1" applyAlignment="1">
      <alignment horizontal="center"/>
    </xf>
    <xf numFmtId="43" fontId="0" fillId="2" borderId="0" xfId="4" applyFont="1" applyFill="1" applyBorder="1" applyAlignment="1">
      <alignment horizontal="center"/>
    </xf>
    <xf numFmtId="43" fontId="0" fillId="2" borderId="45" xfId="4" applyFont="1" applyFill="1" applyBorder="1" applyAlignment="1">
      <alignment horizontal="center"/>
    </xf>
    <xf numFmtId="10" fontId="0" fillId="2" borderId="31" xfId="2" applyNumberFormat="1" applyFont="1" applyFill="1" applyBorder="1" applyAlignment="1">
      <alignment horizontal="center"/>
    </xf>
    <xf numFmtId="43" fontId="0" fillId="2" borderId="31" xfId="4" applyFont="1" applyFill="1" applyBorder="1" applyAlignment="1">
      <alignment horizontal="center"/>
    </xf>
    <xf numFmtId="43" fontId="0" fillId="2" borderId="46" xfId="4" applyFont="1" applyFill="1" applyBorder="1" applyAlignment="1">
      <alignment horizontal="center"/>
    </xf>
    <xf numFmtId="10" fontId="5" fillId="2" borderId="52" xfId="2" applyNumberFormat="1" applyFont="1" applyFill="1" applyBorder="1"/>
    <xf numFmtId="10" fontId="5" fillId="2" borderId="54" xfId="2" applyNumberFormat="1" applyFont="1" applyFill="1" applyBorder="1"/>
    <xf numFmtId="10" fontId="33" fillId="0" borderId="0" xfId="3" applyNumberFormat="1" applyBorder="1" applyAlignment="1">
      <alignment horizontal="left"/>
    </xf>
    <xf numFmtId="0" fontId="0" fillId="0" borderId="51" xfId="0" applyBorder="1" applyAlignment="1">
      <alignment horizontal="left"/>
    </xf>
    <xf numFmtId="0" fontId="0" fillId="0" borderId="53" xfId="0" applyBorder="1" applyAlignment="1">
      <alignment horizontal="left"/>
    </xf>
    <xf numFmtId="0" fontId="0" fillId="0" borderId="3" xfId="0" applyBorder="1"/>
    <xf numFmtId="44" fontId="0" fillId="0" borderId="45" xfId="1" applyFont="1" applyBorder="1"/>
    <xf numFmtId="43" fontId="0" fillId="2" borderId="52" xfId="4" applyFont="1" applyFill="1" applyBorder="1"/>
    <xf numFmtId="43" fontId="5" fillId="2" borderId="52" xfId="4" applyFont="1" applyFill="1" applyBorder="1"/>
    <xf numFmtId="43" fontId="5" fillId="2" borderId="54" xfId="4" applyFont="1" applyFill="1" applyBorder="1"/>
    <xf numFmtId="44" fontId="0" fillId="2" borderId="52" xfId="1" applyFont="1" applyFill="1" applyBorder="1"/>
    <xf numFmtId="44" fontId="0" fillId="0" borderId="0" xfId="1" applyFont="1" applyBorder="1"/>
    <xf numFmtId="43" fontId="0" fillId="2" borderId="0" xfId="4" applyFont="1" applyFill="1" applyBorder="1"/>
    <xf numFmtId="43" fontId="0" fillId="2" borderId="45" xfId="4" applyFont="1" applyFill="1" applyBorder="1"/>
    <xf numFmtId="43" fontId="0" fillId="2" borderId="31" xfId="4" applyFont="1" applyFill="1" applyBorder="1"/>
    <xf numFmtId="43" fontId="0" fillId="2" borderId="46" xfId="4" applyFont="1" applyFill="1" applyBorder="1"/>
    <xf numFmtId="44" fontId="0" fillId="2" borderId="38" xfId="1" applyFont="1" applyFill="1" applyBorder="1"/>
    <xf numFmtId="0" fontId="3" fillId="3" borderId="38" xfId="0" applyFont="1" applyFill="1" applyBorder="1"/>
    <xf numFmtId="0" fontId="0" fillId="0" borderId="45" xfId="0" applyBorder="1"/>
    <xf numFmtId="9" fontId="0" fillId="9" borderId="46" xfId="0" applyNumberFormat="1" applyFill="1" applyBorder="1"/>
    <xf numFmtId="10" fontId="33" fillId="0" borderId="4" xfId="3" applyNumberFormat="1" applyBorder="1" applyAlignment="1">
      <alignment horizontal="left"/>
    </xf>
    <xf numFmtId="0" fontId="0" fillId="0" borderId="31" xfId="0" applyBorder="1"/>
    <xf numFmtId="10" fontId="0" fillId="0" borderId="31" xfId="2" applyNumberFormat="1" applyFont="1" applyBorder="1" applyAlignment="1">
      <alignment horizontal="center"/>
    </xf>
    <xf numFmtId="10" fontId="0" fillId="0" borderId="46" xfId="2" applyNumberFormat="1" applyFont="1" applyBorder="1" applyAlignment="1">
      <alignment horizontal="center"/>
    </xf>
    <xf numFmtId="44" fontId="3" fillId="7" borderId="14" xfId="1" applyFont="1" applyFill="1" applyBorder="1" applyAlignment="1" applyProtection="1">
      <alignment horizontal="center" vertical="top"/>
    </xf>
    <xf numFmtId="43" fontId="3" fillId="3" borderId="22" xfId="4" applyFont="1" applyFill="1" applyBorder="1" applyProtection="1">
      <protection locked="0"/>
    </xf>
    <xf numFmtId="43" fontId="3" fillId="7" borderId="22" xfId="4" applyFont="1" applyFill="1" applyBorder="1" applyProtection="1"/>
    <xf numFmtId="0" fontId="33" fillId="0" borderId="0" xfId="3" applyAlignment="1" applyProtection="1">
      <alignment horizontal="left"/>
    </xf>
    <xf numFmtId="10" fontId="0" fillId="0" borderId="0" xfId="2" applyNumberFormat="1" applyFont="1" applyFill="1" applyBorder="1" applyAlignment="1">
      <alignment horizontal="center"/>
    </xf>
    <xf numFmtId="43" fontId="0" fillId="0" borderId="0" xfId="4" applyFont="1" applyFill="1" applyBorder="1" applyAlignment="1">
      <alignment horizontal="center"/>
    </xf>
    <xf numFmtId="0" fontId="0" fillId="0" borderId="113" xfId="0" applyBorder="1"/>
    <xf numFmtId="0" fontId="0" fillId="0" borderId="114" xfId="0" applyBorder="1"/>
    <xf numFmtId="1" fontId="0" fillId="0" borderId="45" xfId="0" applyNumberFormat="1" applyBorder="1"/>
    <xf numFmtId="0" fontId="0" fillId="0" borderId="4" xfId="0" applyBorder="1"/>
    <xf numFmtId="0" fontId="0" fillId="0" borderId="46" xfId="0" applyBorder="1"/>
    <xf numFmtId="0" fontId="2" fillId="3" borderId="30" xfId="0" applyFont="1" applyFill="1" applyBorder="1" applyProtection="1">
      <protection locked="0"/>
    </xf>
    <xf numFmtId="0" fontId="2" fillId="0" borderId="0" xfId="0" applyFont="1"/>
    <xf numFmtId="0" fontId="2" fillId="0" borderId="0" xfId="0" applyFont="1" applyAlignment="1">
      <alignment vertical="center"/>
    </xf>
    <xf numFmtId="0" fontId="57" fillId="0" borderId="0" xfId="0" applyFont="1" applyAlignment="1">
      <alignment horizontal="right" vertical="center"/>
    </xf>
    <xf numFmtId="0" fontId="39" fillId="10" borderId="23" xfId="0" applyFont="1" applyFill="1" applyBorder="1" applyAlignment="1">
      <alignment horizontal="left"/>
    </xf>
    <xf numFmtId="0" fontId="40" fillId="10" borderId="26" xfId="0" applyFont="1" applyFill="1" applyBorder="1" applyAlignment="1">
      <alignment horizontal="center"/>
    </xf>
    <xf numFmtId="0" fontId="40" fillId="10" borderId="38" xfId="0" applyFont="1" applyFill="1" applyBorder="1" applyAlignment="1">
      <alignment horizontal="center"/>
    </xf>
    <xf numFmtId="0" fontId="0" fillId="5" borderId="40" xfId="0" applyFill="1" applyBorder="1"/>
    <xf numFmtId="0" fontId="0" fillId="5" borderId="6" xfId="0" applyFill="1" applyBorder="1"/>
    <xf numFmtId="0" fontId="42" fillId="0" borderId="40" xfId="0" applyFont="1" applyBorder="1" applyAlignment="1">
      <alignment vertical="center"/>
    </xf>
    <xf numFmtId="8" fontId="43" fillId="7" borderId="13" xfId="0" applyNumberFormat="1" applyFont="1" applyFill="1" applyBorder="1" applyAlignment="1">
      <alignment vertical="center"/>
    </xf>
    <xf numFmtId="0" fontId="43" fillId="0" borderId="88" xfId="0" applyFont="1" applyBorder="1" applyAlignment="1">
      <alignment vertical="center"/>
    </xf>
    <xf numFmtId="8" fontId="43" fillId="7" borderId="89" xfId="0" applyNumberFormat="1" applyFont="1" applyFill="1" applyBorder="1" applyAlignment="1">
      <alignment vertical="center"/>
    </xf>
    <xf numFmtId="0" fontId="42" fillId="0" borderId="95" xfId="0" applyFont="1" applyBorder="1" applyAlignment="1">
      <alignment vertical="center"/>
    </xf>
    <xf numFmtId="8" fontId="43" fillId="7" borderId="96" xfId="0" applyNumberFormat="1" applyFont="1" applyFill="1" applyBorder="1" applyAlignment="1">
      <alignment vertical="center"/>
    </xf>
    <xf numFmtId="164" fontId="2" fillId="0" borderId="0" xfId="0" applyNumberFormat="1" applyFont="1"/>
    <xf numFmtId="0" fontId="42" fillId="0" borderId="97" xfId="0" applyFont="1" applyBorder="1" applyAlignment="1">
      <alignment vertical="center"/>
    </xf>
    <xf numFmtId="0" fontId="39" fillId="10" borderId="37" xfId="0" applyFont="1" applyFill="1" applyBorder="1"/>
    <xf numFmtId="0" fontId="40" fillId="10" borderId="24" xfId="0" applyFont="1" applyFill="1" applyBorder="1" applyAlignment="1">
      <alignment horizontal="center"/>
    </xf>
    <xf numFmtId="164" fontId="40" fillId="10" borderId="27" xfId="0" applyNumberFormat="1" applyFont="1" applyFill="1" applyBorder="1" applyAlignment="1">
      <alignment horizontal="center"/>
    </xf>
    <xf numFmtId="0" fontId="43" fillId="0" borderId="15" xfId="0" applyFont="1" applyBorder="1" applyAlignment="1">
      <alignment vertical="center"/>
    </xf>
    <xf numFmtId="43" fontId="48" fillId="7" borderId="98" xfId="0" applyNumberFormat="1" applyFont="1" applyFill="1" applyBorder="1" applyAlignment="1">
      <alignment vertical="center"/>
    </xf>
    <xf numFmtId="0" fontId="26" fillId="0" borderId="0" xfId="0" applyFont="1"/>
    <xf numFmtId="0" fontId="41" fillId="5" borderId="93" xfId="0" applyFont="1" applyFill="1" applyBorder="1" applyAlignment="1">
      <alignment horizontal="left" vertical="top"/>
    </xf>
    <xf numFmtId="0" fontId="10" fillId="0" borderId="29" xfId="0" applyFont="1" applyBorder="1"/>
    <xf numFmtId="164" fontId="2" fillId="7" borderId="2" xfId="0" quotePrefix="1" applyNumberFormat="1" applyFont="1" applyFill="1" applyBorder="1"/>
    <xf numFmtId="0" fontId="36" fillId="5" borderId="9" xfId="0" applyFont="1" applyFill="1" applyBorder="1" applyAlignment="1">
      <alignment horizontal="center"/>
    </xf>
    <xf numFmtId="0" fontId="10" fillId="0" borderId="99" xfId="0" applyFont="1" applyBorder="1"/>
    <xf numFmtId="0" fontId="50" fillId="5" borderId="2" xfId="0" applyFont="1" applyFill="1" applyBorder="1" applyAlignment="1">
      <alignment horizontal="center" vertical="top" wrapText="1"/>
    </xf>
    <xf numFmtId="0" fontId="50" fillId="5" borderId="100" xfId="0" applyFont="1" applyFill="1" applyBorder="1" applyAlignment="1">
      <alignment horizontal="center" vertical="top" wrapText="1"/>
    </xf>
    <xf numFmtId="0" fontId="41" fillId="5" borderId="9" xfId="0" applyFont="1" applyFill="1" applyBorder="1" applyAlignment="1">
      <alignment vertical="top"/>
    </xf>
    <xf numFmtId="0" fontId="36" fillId="7" borderId="0" xfId="0" applyFont="1" applyFill="1" applyAlignment="1">
      <alignment horizontal="center" vertical="center"/>
    </xf>
    <xf numFmtId="0" fontId="23" fillId="0" borderId="99" xfId="0" applyFont="1" applyBorder="1"/>
    <xf numFmtId="164" fontId="2" fillId="7" borderId="16" xfId="0" applyNumberFormat="1" applyFont="1" applyFill="1" applyBorder="1"/>
    <xf numFmtId="0" fontId="36" fillId="5" borderId="2" xfId="0" applyFont="1" applyFill="1" applyBorder="1" applyAlignment="1">
      <alignment vertical="center"/>
    </xf>
    <xf numFmtId="0" fontId="17" fillId="7" borderId="2" xfId="0" applyFont="1" applyFill="1" applyBorder="1" applyAlignment="1">
      <alignment horizontal="center" vertical="center"/>
    </xf>
    <xf numFmtId="0" fontId="0" fillId="5" borderId="100" xfId="0" applyFill="1" applyBorder="1" applyAlignment="1">
      <alignment vertical="center"/>
    </xf>
    <xf numFmtId="0" fontId="10" fillId="0" borderId="15" xfId="0" applyFont="1" applyBorder="1"/>
    <xf numFmtId="0" fontId="41" fillId="5" borderId="5" xfId="0" applyFont="1" applyFill="1" applyBorder="1" applyAlignment="1">
      <alignment vertical="top"/>
    </xf>
    <xf numFmtId="0" fontId="36" fillId="5" borderId="42" xfId="0" applyFont="1" applyFill="1" applyBorder="1" applyAlignment="1">
      <alignment horizontal="center" vertical="center"/>
    </xf>
    <xf numFmtId="0" fontId="23" fillId="0" borderId="4" xfId="0" applyFont="1" applyBorder="1"/>
    <xf numFmtId="164" fontId="2" fillId="7" borderId="101" xfId="0" applyNumberFormat="1" applyFont="1" applyFill="1" applyBorder="1"/>
    <xf numFmtId="0" fontId="23" fillId="0" borderId="37" xfId="0" applyFont="1" applyBorder="1"/>
    <xf numFmtId="8" fontId="2" fillId="0" borderId="0" xfId="0" applyNumberFormat="1" applyFont="1"/>
    <xf numFmtId="0" fontId="41" fillId="5" borderId="103" xfId="0" applyFont="1" applyFill="1" applyBorder="1" applyAlignment="1">
      <alignment vertical="top"/>
    </xf>
    <xf numFmtId="0" fontId="41" fillId="5" borderId="7" xfId="0" applyFont="1" applyFill="1" applyBorder="1" applyAlignment="1">
      <alignment vertical="top"/>
    </xf>
    <xf numFmtId="0" fontId="41" fillId="5" borderId="7" xfId="0" applyFont="1" applyFill="1" applyBorder="1" applyAlignment="1">
      <alignment horizontal="left" vertical="top"/>
    </xf>
    <xf numFmtId="0" fontId="41" fillId="5" borderId="104" xfId="0" applyFont="1" applyFill="1" applyBorder="1" applyAlignment="1">
      <alignment horizontal="left" vertical="top"/>
    </xf>
    <xf numFmtId="0" fontId="55" fillId="0" borderId="0" xfId="0" applyFont="1"/>
    <xf numFmtId="3" fontId="36" fillId="7" borderId="106" xfId="0" applyNumberFormat="1" applyFont="1" applyFill="1" applyBorder="1" applyAlignment="1">
      <alignment horizontal="left" vertical="center" indent="1"/>
    </xf>
    <xf numFmtId="0" fontId="44" fillId="5" borderId="109" xfId="0" applyFont="1" applyFill="1" applyBorder="1" applyAlignment="1">
      <alignment horizontal="center" vertical="center" wrapText="1"/>
    </xf>
    <xf numFmtId="0" fontId="60" fillId="0" borderId="0" xfId="0" applyFont="1"/>
    <xf numFmtId="0" fontId="52" fillId="0" borderId="0" xfId="0" applyFont="1"/>
    <xf numFmtId="0" fontId="0" fillId="5" borderId="111" xfId="0" applyFill="1" applyBorder="1" applyAlignment="1">
      <alignment vertical="center"/>
    </xf>
    <xf numFmtId="0" fontId="0" fillId="5" borderId="34" xfId="0" applyFill="1" applyBorder="1" applyAlignment="1">
      <alignment vertical="center"/>
    </xf>
    <xf numFmtId="0" fontId="4" fillId="5" borderId="34" xfId="0" applyFont="1" applyFill="1" applyBorder="1" applyAlignment="1">
      <alignment vertical="center" wrapText="1"/>
    </xf>
    <xf numFmtId="0" fontId="0" fillId="5" borderId="101" xfId="0" applyFill="1" applyBorder="1" applyAlignment="1">
      <alignment vertical="center"/>
    </xf>
    <xf numFmtId="8" fontId="52" fillId="0" borderId="0" xfId="0" applyNumberFormat="1" applyFont="1" applyAlignment="1">
      <alignment vertical="top"/>
    </xf>
    <xf numFmtId="0" fontId="39" fillId="10" borderId="41" xfId="0" applyFont="1" applyFill="1" applyBorder="1"/>
    <xf numFmtId="0" fontId="40" fillId="10" borderId="37" xfId="0" applyFont="1" applyFill="1" applyBorder="1" applyAlignment="1">
      <alignment horizontal="center"/>
    </xf>
    <xf numFmtId="0" fontId="40" fillId="10" borderId="27" xfId="0" applyFont="1" applyFill="1" applyBorder="1" applyAlignment="1">
      <alignment horizontal="center"/>
    </xf>
    <xf numFmtId="0" fontId="11" fillId="0" borderId="0" xfId="0" quotePrefix="1" applyFont="1"/>
    <xf numFmtId="0" fontId="10" fillId="0" borderId="41" xfId="0" applyFont="1" applyBorder="1"/>
    <xf numFmtId="8" fontId="48" fillId="7" borderId="25" xfId="0" applyNumberFormat="1" applyFont="1" applyFill="1" applyBorder="1"/>
    <xf numFmtId="8" fontId="2" fillId="7" borderId="27" xfId="0" applyNumberFormat="1" applyFont="1" applyFill="1" applyBorder="1"/>
    <xf numFmtId="0" fontId="0" fillId="0" borderId="0" xfId="0" applyAlignment="1">
      <alignment horizontal="left" vertical="center"/>
    </xf>
    <xf numFmtId="0" fontId="11" fillId="0" borderId="0" xfId="0" applyFont="1" applyAlignment="1">
      <alignment horizontal="left" vertical="center"/>
    </xf>
    <xf numFmtId="0" fontId="26" fillId="3" borderId="0" xfId="0" applyFont="1" applyFill="1" applyAlignment="1">
      <alignment horizontal="left" vertical="center"/>
    </xf>
    <xf numFmtId="0" fontId="36" fillId="0" borderId="0" xfId="0" applyFont="1"/>
    <xf numFmtId="0" fontId="53" fillId="0" borderId="0" xfId="0" applyFont="1" applyAlignment="1">
      <alignment vertical="top" wrapText="1"/>
    </xf>
    <xf numFmtId="0" fontId="26" fillId="0" borderId="0" xfId="0" applyFont="1" applyAlignment="1">
      <alignment horizontal="left"/>
    </xf>
    <xf numFmtId="0" fontId="26" fillId="0" borderId="0" xfId="0" applyFont="1" applyAlignment="1">
      <alignment horizontal="left" wrapText="1"/>
    </xf>
    <xf numFmtId="164" fontId="2" fillId="3" borderId="14" xfId="0" applyNumberFormat="1" applyFont="1" applyFill="1" applyBorder="1" applyProtection="1">
      <protection locked="0"/>
    </xf>
    <xf numFmtId="164" fontId="2" fillId="3" borderId="22" xfId="0" applyNumberFormat="1" applyFont="1" applyFill="1" applyBorder="1" applyProtection="1">
      <protection locked="0"/>
    </xf>
    <xf numFmtId="164" fontId="2" fillId="3" borderId="2" xfId="0" quotePrefix="1" applyNumberFormat="1" applyFont="1" applyFill="1" applyBorder="1" applyProtection="1">
      <protection locked="0"/>
    </xf>
    <xf numFmtId="164" fontId="2" fillId="3" borderId="43" xfId="1" applyNumberFormat="1" applyFont="1" applyFill="1" applyBorder="1" applyProtection="1">
      <protection locked="0"/>
    </xf>
    <xf numFmtId="164" fontId="2" fillId="3" borderId="34" xfId="0" quotePrefix="1" applyNumberFormat="1" applyFont="1" applyFill="1" applyBorder="1" applyProtection="1">
      <protection locked="0"/>
    </xf>
    <xf numFmtId="164" fontId="2" fillId="3" borderId="27" xfId="0" quotePrefix="1" applyNumberFormat="1" applyFont="1" applyFill="1" applyBorder="1" applyProtection="1">
      <protection locked="0"/>
    </xf>
    <xf numFmtId="0" fontId="36" fillId="3" borderId="105" xfId="0" applyFont="1" applyFill="1" applyBorder="1" applyAlignment="1" applyProtection="1">
      <alignment horizontal="center" vertical="center"/>
      <protection locked="0"/>
    </xf>
    <xf numFmtId="0" fontId="36" fillId="3" borderId="110" xfId="0" applyFont="1" applyFill="1" applyBorder="1" applyAlignment="1" applyProtection="1">
      <alignment horizontal="left" vertical="center"/>
      <protection locked="0"/>
    </xf>
    <xf numFmtId="0" fontId="33" fillId="0" borderId="0" xfId="3" applyProtection="1"/>
    <xf numFmtId="0" fontId="3" fillId="0" borderId="0" xfId="0" applyFont="1"/>
    <xf numFmtId="0" fontId="3" fillId="0" borderId="0" xfId="0" applyFont="1" applyAlignment="1">
      <alignment horizontal="left" vertical="center"/>
    </xf>
    <xf numFmtId="0" fontId="0" fillId="0" borderId="1" xfId="0" applyBorder="1" applyAlignment="1">
      <alignment horizontal="center"/>
    </xf>
    <xf numFmtId="0" fontId="0" fillId="0" borderId="0" xfId="0" applyAlignment="1">
      <alignment horizontal="left"/>
    </xf>
    <xf numFmtId="10" fontId="3" fillId="0" borderId="30" xfId="2" applyNumberFormat="1" applyFont="1" applyBorder="1" applyAlignment="1">
      <alignment horizontal="center"/>
    </xf>
    <xf numFmtId="10" fontId="3" fillId="0" borderId="115" xfId="2" applyNumberFormat="1" applyFont="1" applyFill="1" applyBorder="1" applyAlignment="1">
      <alignment horizontal="center"/>
    </xf>
    <xf numFmtId="167" fontId="0" fillId="0" borderId="37" xfId="2" applyNumberFormat="1" applyFont="1" applyBorder="1"/>
    <xf numFmtId="44" fontId="0" fillId="2" borderId="48" xfId="1" applyFont="1" applyFill="1" applyBorder="1" applyAlignment="1">
      <alignment horizontal="center"/>
    </xf>
    <xf numFmtId="43" fontId="0" fillId="2" borderId="116" xfId="4" applyFont="1" applyFill="1" applyBorder="1" applyAlignment="1">
      <alignment horizontal="center"/>
    </xf>
    <xf numFmtId="43" fontId="0" fillId="7" borderId="38" xfId="4" applyFont="1" applyFill="1" applyBorder="1"/>
    <xf numFmtId="43" fontId="0" fillId="2" borderId="101" xfId="4" applyFont="1" applyFill="1" applyBorder="1" applyAlignment="1">
      <alignment horizontal="center"/>
    </xf>
    <xf numFmtId="44" fontId="0" fillId="3" borderId="30" xfId="1" applyFont="1" applyFill="1" applyBorder="1" applyAlignment="1">
      <alignment horizontal="center"/>
    </xf>
    <xf numFmtId="43" fontId="0" fillId="3" borderId="0" xfId="4" applyFont="1" applyFill="1" applyBorder="1"/>
    <xf numFmtId="43" fontId="0" fillId="3" borderId="0" xfId="4" applyFont="1" applyFill="1" applyBorder="1" applyAlignment="1">
      <alignment horizontal="center"/>
    </xf>
    <xf numFmtId="168" fontId="0" fillId="3" borderId="31" xfId="2" applyNumberFormat="1" applyFont="1" applyFill="1" applyBorder="1" applyAlignment="1">
      <alignment horizontal="center"/>
    </xf>
    <xf numFmtId="0" fontId="3" fillId="0" borderId="1" xfId="0" applyFont="1" applyBorder="1" applyAlignment="1">
      <alignment horizontal="left"/>
    </xf>
    <xf numFmtId="0" fontId="33" fillId="0" borderId="30" xfId="3" applyBorder="1" applyAlignment="1"/>
    <xf numFmtId="43" fontId="2" fillId="7" borderId="49" xfId="4" applyFont="1" applyFill="1" applyBorder="1" applyProtection="1"/>
    <xf numFmtId="43" fontId="2" fillId="7" borderId="46" xfId="4" applyFont="1" applyFill="1" applyBorder="1" applyProtection="1"/>
    <xf numFmtId="43" fontId="2" fillId="7" borderId="87" xfId="4" applyFont="1" applyFill="1" applyBorder="1" applyProtection="1"/>
    <xf numFmtId="0" fontId="36" fillId="7" borderId="5" xfId="0" applyFont="1" applyFill="1" applyBorder="1" applyAlignment="1">
      <alignment vertical="center"/>
    </xf>
    <xf numFmtId="164" fontId="0" fillId="2" borderId="22" xfId="0" applyNumberFormat="1" applyFill="1" applyBorder="1"/>
    <xf numFmtId="0" fontId="10" fillId="0" borderId="12" xfId="0" applyFont="1" applyBorder="1" applyAlignment="1">
      <alignment vertical="center"/>
    </xf>
    <xf numFmtId="0" fontId="0" fillId="0" borderId="6" xfId="0" applyBorder="1" applyAlignment="1">
      <alignment horizontal="left" vertical="center" wrapText="1"/>
    </xf>
    <xf numFmtId="0" fontId="0" fillId="0" borderId="38" xfId="0" applyBorder="1"/>
    <xf numFmtId="0" fontId="0" fillId="0" borderId="50" xfId="0" applyBorder="1"/>
    <xf numFmtId="0" fontId="0" fillId="0" borderId="118" xfId="0" applyBorder="1"/>
    <xf numFmtId="0" fontId="0" fillId="7" borderId="4" xfId="0" applyFill="1" applyBorder="1"/>
    <xf numFmtId="0" fontId="36" fillId="3" borderId="3" xfId="0" applyFont="1" applyFill="1" applyBorder="1" applyAlignment="1" applyProtection="1">
      <alignment horizontal="left"/>
      <protection locked="0"/>
    </xf>
    <xf numFmtId="0" fontId="36" fillId="3" borderId="0" xfId="0" applyFont="1" applyFill="1" applyAlignment="1" applyProtection="1">
      <alignment horizontal="left"/>
      <protection locked="0"/>
    </xf>
    <xf numFmtId="0" fontId="36" fillId="3" borderId="10" xfId="0" applyFont="1" applyFill="1" applyBorder="1" applyAlignment="1" applyProtection="1">
      <alignment horizontal="left"/>
      <protection locked="0"/>
    </xf>
    <xf numFmtId="1" fontId="36" fillId="7" borderId="9" xfId="0" applyNumberFormat="1" applyFont="1" applyFill="1" applyBorder="1" applyAlignment="1">
      <alignment horizontal="left" indent="1"/>
    </xf>
    <xf numFmtId="1" fontId="36" fillId="7" borderId="45" xfId="0" applyNumberFormat="1" applyFont="1" applyFill="1" applyBorder="1" applyAlignment="1">
      <alignment horizontal="left" indent="1"/>
    </xf>
    <xf numFmtId="0" fontId="36" fillId="3" borderId="0" xfId="0" applyFont="1" applyFill="1" applyAlignment="1" applyProtection="1">
      <alignment horizontal="center" vertical="center"/>
      <protection locked="0"/>
    </xf>
    <xf numFmtId="0" fontId="36" fillId="5" borderId="93" xfId="0" applyFont="1" applyFill="1" applyBorder="1" applyAlignment="1">
      <alignment vertical="center"/>
    </xf>
    <xf numFmtId="0" fontId="17" fillId="7" borderId="91" xfId="0" applyFont="1" applyFill="1" applyBorder="1" applyAlignment="1">
      <alignment horizontal="center" vertical="center"/>
    </xf>
    <xf numFmtId="0" fontId="0" fillId="5" borderId="91" xfId="0" applyFill="1" applyBorder="1" applyAlignment="1">
      <alignment vertical="center"/>
    </xf>
    <xf numFmtId="0" fontId="2" fillId="7" borderId="16" xfId="0" applyFont="1" applyFill="1" applyBorder="1"/>
    <xf numFmtId="0" fontId="0" fillId="0" borderId="119" xfId="0" applyBorder="1"/>
    <xf numFmtId="43" fontId="0" fillId="2" borderId="54" xfId="4" applyFont="1" applyFill="1" applyBorder="1"/>
    <xf numFmtId="43" fontId="0" fillId="2" borderId="120" xfId="4" applyFont="1" applyFill="1" applyBorder="1"/>
    <xf numFmtId="0" fontId="0" fillId="0" borderId="0" xfId="0" applyAlignment="1">
      <alignment horizontal="left" wrapText="1"/>
    </xf>
    <xf numFmtId="10" fontId="6" fillId="5" borderId="115" xfId="2" applyNumberFormat="1" applyFont="1" applyFill="1" applyBorder="1" applyAlignment="1">
      <alignment horizontal="center" vertical="center" wrapText="1"/>
    </xf>
    <xf numFmtId="44" fontId="0" fillId="5" borderId="121" xfId="1" applyFont="1" applyFill="1" applyBorder="1" applyAlignment="1">
      <alignment horizontal="center"/>
    </xf>
    <xf numFmtId="43" fontId="0" fillId="2" borderId="121" xfId="4" applyFont="1" applyFill="1" applyBorder="1" applyAlignment="1">
      <alignment horizontal="center"/>
    </xf>
    <xf numFmtId="43" fontId="0" fillId="2" borderId="122" xfId="4" applyFont="1" applyFill="1" applyBorder="1" applyAlignment="1">
      <alignment horizontal="center"/>
    </xf>
    <xf numFmtId="10" fontId="6" fillId="5" borderId="122" xfId="2" applyNumberFormat="1" applyFont="1" applyFill="1" applyBorder="1" applyAlignment="1">
      <alignment horizontal="center" vertical="center" wrapText="1"/>
    </xf>
    <xf numFmtId="0" fontId="5" fillId="0" borderId="13" xfId="0" applyFont="1" applyBorder="1" applyAlignment="1">
      <alignment horizontal="left" vertical="center"/>
    </xf>
    <xf numFmtId="0" fontId="21" fillId="0" borderId="0" xfId="0" applyFont="1"/>
    <xf numFmtId="0" fontId="21" fillId="0" borderId="0" xfId="0" applyFont="1" applyAlignment="1">
      <alignment vertical="center"/>
    </xf>
    <xf numFmtId="0" fontId="63" fillId="0" borderId="0" xfId="0" applyFont="1"/>
    <xf numFmtId="0" fontId="21" fillId="0" borderId="0" xfId="0" quotePrefix="1" applyFont="1"/>
    <xf numFmtId="0" fontId="21" fillId="5" borderId="31" xfId="0" quotePrefix="1" applyFont="1" applyFill="1" applyBorder="1" applyAlignment="1">
      <alignment horizontal="center" vertical="center" wrapText="1"/>
    </xf>
    <xf numFmtId="0" fontId="21" fillId="5" borderId="31" xfId="0" applyFont="1" applyFill="1" applyBorder="1" applyAlignment="1">
      <alignment horizontal="center" vertical="center" wrapText="1"/>
    </xf>
    <xf numFmtId="0" fontId="20" fillId="0" borderId="0" xfId="0" applyFont="1" applyAlignment="1">
      <alignment vertical="center"/>
    </xf>
    <xf numFmtId="0" fontId="48" fillId="3" borderId="0" xfId="0" applyFont="1" applyFill="1" applyProtection="1">
      <protection locked="0"/>
    </xf>
    <xf numFmtId="0" fontId="10" fillId="0" borderId="3" xfId="0" applyFont="1" applyBorder="1" applyAlignment="1">
      <alignment horizontal="right"/>
    </xf>
    <xf numFmtId="0" fontId="6" fillId="0" borderId="37" xfId="0" applyFont="1" applyBorder="1"/>
    <xf numFmtId="43" fontId="0" fillId="2" borderId="38" xfId="4" applyFont="1" applyFill="1" applyBorder="1" applyAlignment="1">
      <alignment horizontal="center"/>
    </xf>
    <xf numFmtId="164" fontId="0" fillId="3" borderId="117" xfId="0" applyNumberFormat="1" applyFill="1" applyBorder="1" applyAlignment="1" applyProtection="1">
      <alignment horizontal="center" vertical="center"/>
      <protection locked="0"/>
    </xf>
    <xf numFmtId="164" fontId="0" fillId="3" borderId="49" xfId="0" applyNumberFormat="1" applyFill="1" applyBorder="1" applyAlignment="1" applyProtection="1">
      <alignment horizontal="center" vertical="center"/>
      <protection locked="0"/>
    </xf>
    <xf numFmtId="0" fontId="10" fillId="0" borderId="4" xfId="0" applyFont="1" applyBorder="1" applyAlignment="1">
      <alignment horizontal="left"/>
    </xf>
    <xf numFmtId="0" fontId="10" fillId="0" borderId="31" xfId="0" applyFont="1" applyBorder="1" applyAlignment="1">
      <alignment horizontal="left"/>
    </xf>
    <xf numFmtId="0" fontId="14" fillId="4" borderId="24" xfId="0" applyFont="1" applyFill="1" applyBorder="1" applyAlignment="1">
      <alignment horizontal="left" vertical="center" wrapText="1"/>
    </xf>
    <xf numFmtId="0" fontId="14" fillId="4" borderId="32" xfId="0" applyFont="1" applyFill="1" applyBorder="1" applyAlignment="1">
      <alignment horizontal="left" vertical="center" wrapText="1"/>
    </xf>
    <xf numFmtId="0" fontId="14" fillId="4" borderId="38" xfId="0" applyFont="1" applyFill="1" applyBorder="1" applyAlignment="1">
      <alignment horizontal="left" vertical="center" wrapText="1"/>
    </xf>
    <xf numFmtId="0" fontId="10" fillId="5" borderId="29" xfId="0" applyFont="1" applyFill="1" applyBorder="1" applyAlignment="1">
      <alignment horizontal="left" vertical="center" wrapText="1"/>
    </xf>
    <xf numFmtId="0" fontId="10" fillId="5" borderId="39" xfId="0" applyFont="1" applyFill="1" applyBorder="1" applyAlignment="1">
      <alignment horizontal="left" vertical="center" wrapText="1"/>
    </xf>
    <xf numFmtId="0" fontId="10" fillId="8" borderId="40"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24" fillId="8" borderId="5" xfId="0" applyFont="1" applyFill="1" applyBorder="1" applyAlignment="1">
      <alignment horizontal="left" vertical="top" wrapText="1"/>
    </xf>
    <xf numFmtId="0" fontId="24" fillId="8" borderId="6" xfId="0" applyFont="1" applyFill="1" applyBorder="1" applyAlignment="1">
      <alignment horizontal="left" vertical="top" wrapText="1"/>
    </xf>
    <xf numFmtId="0" fontId="10" fillId="8" borderId="4" xfId="0" applyFont="1" applyFill="1" applyBorder="1" applyAlignment="1">
      <alignment horizontal="left" vertical="center" wrapText="1"/>
    </xf>
    <xf numFmtId="0" fontId="10" fillId="8" borderId="35" xfId="0" applyFont="1" applyFill="1" applyBorder="1" applyAlignment="1">
      <alignment horizontal="left" vertical="center" wrapText="1"/>
    </xf>
    <xf numFmtId="0" fontId="11" fillId="8" borderId="21" xfId="0" applyFont="1" applyFill="1" applyBorder="1" applyAlignment="1">
      <alignment horizontal="left" vertical="top" wrapText="1"/>
    </xf>
    <xf numFmtId="0" fontId="11" fillId="8" borderId="35" xfId="0" applyFont="1" applyFill="1" applyBorder="1" applyAlignment="1">
      <alignment horizontal="left" vertical="top" wrapText="1"/>
    </xf>
    <xf numFmtId="0" fontId="14" fillId="6" borderId="37" xfId="0" quotePrefix="1" applyFont="1" applyFill="1" applyBorder="1" applyAlignment="1">
      <alignment horizontal="center" vertical="center" wrapText="1"/>
    </xf>
    <xf numFmtId="0" fontId="14" fillId="6" borderId="32" xfId="0" quotePrefix="1" applyFont="1" applyFill="1" applyBorder="1" applyAlignment="1">
      <alignment horizontal="center" vertical="center" wrapText="1"/>
    </xf>
    <xf numFmtId="0" fontId="14" fillId="6" borderId="38" xfId="0" quotePrefix="1" applyFont="1" applyFill="1" applyBorder="1" applyAlignment="1">
      <alignment horizontal="center" vertical="center" wrapText="1"/>
    </xf>
    <xf numFmtId="0" fontId="15" fillId="0" borderId="1" xfId="0" applyFont="1" applyBorder="1" applyAlignment="1">
      <alignment horizontal="right"/>
    </xf>
    <xf numFmtId="0" fontId="15" fillId="0" borderId="30" xfId="0" applyFont="1" applyBorder="1" applyAlignment="1">
      <alignment horizontal="right"/>
    </xf>
    <xf numFmtId="0" fontId="2" fillId="0" borderId="3" xfId="0" applyFont="1" applyBorder="1" applyAlignment="1">
      <alignment horizontal="right"/>
    </xf>
    <xf numFmtId="0" fontId="15" fillId="0" borderId="0" xfId="0" applyFont="1" applyAlignment="1">
      <alignment horizontal="right"/>
    </xf>
    <xf numFmtId="0" fontId="15" fillId="0" borderId="0" xfId="0" applyFont="1" applyAlignment="1">
      <alignment horizontal="left"/>
    </xf>
    <xf numFmtId="0" fontId="15" fillId="0" borderId="45" xfId="0" applyFont="1" applyBorder="1" applyAlignment="1">
      <alignment horizontal="left"/>
    </xf>
    <xf numFmtId="0" fontId="15" fillId="0" borderId="3" xfId="0" applyFont="1" applyBorder="1" applyAlignment="1">
      <alignment horizontal="center"/>
    </xf>
    <xf numFmtId="0" fontId="15" fillId="0" borderId="0" xfId="0" applyFont="1" applyAlignment="1">
      <alignment horizontal="center"/>
    </xf>
    <xf numFmtId="0" fontId="15" fillId="0" borderId="45" xfId="0" applyFont="1" applyBorder="1" applyAlignment="1">
      <alignment horizontal="center"/>
    </xf>
    <xf numFmtId="0" fontId="22" fillId="0" borderId="0" xfId="0" applyFont="1" applyAlignment="1">
      <alignment horizontal="right"/>
    </xf>
    <xf numFmtId="0" fontId="10" fillId="8" borderId="12" xfId="0" applyFont="1" applyFill="1" applyBorder="1" applyAlignment="1">
      <alignment horizontal="left" vertical="top" wrapText="1"/>
    </xf>
    <xf numFmtId="0" fontId="10" fillId="8" borderId="17" xfId="0" applyFont="1" applyFill="1" applyBorder="1" applyAlignment="1">
      <alignment horizontal="left" vertical="top" wrapText="1"/>
    </xf>
    <xf numFmtId="0" fontId="24" fillId="8" borderId="36" xfId="0" applyFont="1" applyFill="1" applyBorder="1" applyAlignment="1">
      <alignment horizontal="left" vertical="top" wrapText="1"/>
    </xf>
    <xf numFmtId="0" fontId="24" fillId="8" borderId="34" xfId="0" applyFont="1" applyFill="1" applyBorder="1" applyAlignment="1">
      <alignment horizontal="left" vertical="top" wrapText="1"/>
    </xf>
    <xf numFmtId="0" fontId="21" fillId="5" borderId="30" xfId="0" quotePrefix="1" applyFont="1" applyFill="1" applyBorder="1" applyAlignment="1">
      <alignment horizontal="left" vertical="top" wrapText="1"/>
    </xf>
    <xf numFmtId="0" fontId="21" fillId="5" borderId="30" xfId="0" applyFont="1" applyFill="1" applyBorder="1" applyAlignment="1">
      <alignment horizontal="left" vertical="top" wrapText="1"/>
    </xf>
    <xf numFmtId="0" fontId="10" fillId="0" borderId="12" xfId="0" applyFont="1" applyBorder="1" applyAlignment="1">
      <alignment horizontal="left" vertical="top" wrapText="1"/>
    </xf>
    <xf numFmtId="0" fontId="10" fillId="0" borderId="17" xfId="0" applyFont="1" applyBorder="1" applyAlignment="1">
      <alignment horizontal="left" vertical="top" wrapText="1"/>
    </xf>
    <xf numFmtId="0" fontId="11" fillId="0" borderId="13" xfId="0" applyFont="1" applyBorder="1" applyAlignment="1">
      <alignment horizontal="left" vertical="top" wrapText="1"/>
    </xf>
    <xf numFmtId="0" fontId="11" fillId="0" borderId="18" xfId="0" applyFont="1" applyBorder="1" applyAlignment="1">
      <alignment horizontal="left" vertical="top" wrapText="1"/>
    </xf>
    <xf numFmtId="0" fontId="11" fillId="8" borderId="13" xfId="0" applyFont="1" applyFill="1" applyBorder="1" applyAlignment="1">
      <alignment horizontal="left" vertical="top" wrapText="1"/>
    </xf>
    <xf numFmtId="0" fontId="11" fillId="8" borderId="18" xfId="0" applyFont="1" applyFill="1" applyBorder="1" applyAlignment="1">
      <alignment horizontal="left" vertical="top" wrapText="1"/>
    </xf>
    <xf numFmtId="0" fontId="12" fillId="8" borderId="13" xfId="0" applyFont="1" applyFill="1" applyBorder="1" applyAlignment="1">
      <alignment horizontal="left" vertical="top" wrapText="1"/>
    </xf>
    <xf numFmtId="0" fontId="13" fillId="0" borderId="30" xfId="0" quotePrefix="1" applyFont="1" applyBorder="1" applyAlignment="1">
      <alignment horizontal="center" vertical="center" wrapText="1"/>
    </xf>
    <xf numFmtId="0" fontId="13" fillId="0" borderId="30" xfId="0" applyFont="1" applyBorder="1" applyAlignment="1">
      <alignment horizontal="center" vertical="center" wrapText="1"/>
    </xf>
    <xf numFmtId="0" fontId="24" fillId="5" borderId="117" xfId="0" applyFont="1" applyFill="1" applyBorder="1" applyAlignment="1">
      <alignment vertical="top" wrapText="1"/>
    </xf>
    <xf numFmtId="0" fontId="11" fillId="5" borderId="39" xfId="0" applyFont="1" applyFill="1" applyBorder="1" applyAlignment="1">
      <alignment vertical="top" wrapText="1"/>
    </xf>
    <xf numFmtId="0" fontId="14" fillId="4" borderId="25"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14" fillId="4" borderId="33" xfId="0" applyFont="1" applyFill="1" applyBorder="1" applyAlignment="1">
      <alignment horizontal="left" vertical="center" wrapText="1"/>
    </xf>
    <xf numFmtId="0" fontId="10" fillId="0" borderId="68" xfId="0" applyFont="1" applyBorder="1" applyAlignment="1">
      <alignment horizontal="left" vertical="top" wrapText="1"/>
    </xf>
    <xf numFmtId="0" fontId="10" fillId="0" borderId="69" xfId="0" applyFont="1" applyBorder="1" applyAlignment="1">
      <alignment horizontal="left" vertical="top" wrapText="1"/>
    </xf>
    <xf numFmtId="0" fontId="10" fillId="0" borderId="59" xfId="0" applyFont="1" applyBorder="1" applyAlignment="1">
      <alignment horizontal="left" vertical="top" wrapText="1"/>
    </xf>
    <xf numFmtId="0" fontId="10" fillId="0" borderId="10" xfId="0" applyFont="1" applyBorder="1" applyAlignment="1">
      <alignment horizontal="left" vertical="top" wrapText="1"/>
    </xf>
    <xf numFmtId="0" fontId="10" fillId="0" borderId="76" xfId="0" applyFont="1" applyBorder="1" applyAlignment="1">
      <alignment horizontal="left" vertical="top" wrapText="1"/>
    </xf>
    <xf numFmtId="0" fontId="10" fillId="0" borderId="78" xfId="0" applyFont="1" applyBorder="1" applyAlignment="1">
      <alignment horizontal="left" vertical="top" wrapText="1"/>
    </xf>
    <xf numFmtId="0" fontId="11" fillId="0" borderId="8" xfId="0" applyFont="1" applyBorder="1" applyAlignment="1">
      <alignment horizontal="left" vertical="top" wrapText="1"/>
    </xf>
    <xf numFmtId="0" fontId="11" fillId="0" borderId="2" xfId="0" applyFont="1" applyBorder="1" applyAlignment="1">
      <alignment horizontal="left" vertical="top" wrapText="1"/>
    </xf>
    <xf numFmtId="0" fontId="12" fillId="0" borderId="8" xfId="0" applyFont="1" applyBorder="1" applyAlignment="1">
      <alignment horizontal="left" vertical="top" wrapText="1"/>
    </xf>
    <xf numFmtId="0" fontId="24" fillId="0" borderId="2" xfId="0" applyFont="1" applyBorder="1" applyAlignment="1">
      <alignment horizontal="left" vertical="top" wrapText="1"/>
    </xf>
    <xf numFmtId="0" fontId="24" fillId="0" borderId="7" xfId="0" applyFont="1" applyBorder="1" applyAlignment="1">
      <alignment horizontal="left" vertical="top" wrapText="1"/>
    </xf>
    <xf numFmtId="0" fontId="24" fillId="0" borderId="11" xfId="0" applyFont="1" applyBorder="1" applyAlignment="1">
      <alignment horizontal="left" vertical="top" wrapText="1"/>
    </xf>
    <xf numFmtId="0" fontId="24" fillId="0" borderId="8" xfId="0" applyFont="1" applyBorder="1" applyAlignment="1">
      <alignment horizontal="left" vertical="top" wrapText="1"/>
    </xf>
    <xf numFmtId="0" fontId="10" fillId="8" borderId="80" xfId="0" applyFont="1" applyFill="1" applyBorder="1" applyAlignment="1">
      <alignment horizontal="left" vertical="top" wrapText="1"/>
    </xf>
    <xf numFmtId="0" fontId="10" fillId="8" borderId="81" xfId="0" applyFont="1" applyFill="1" applyBorder="1" applyAlignment="1">
      <alignment horizontal="left" vertical="top" wrapText="1"/>
    </xf>
    <xf numFmtId="0" fontId="24" fillId="8" borderId="9" xfId="0" applyFont="1" applyFill="1" applyBorder="1" applyAlignment="1">
      <alignment horizontal="left" vertical="top" wrapText="1"/>
    </xf>
    <xf numFmtId="0" fontId="24" fillId="8" borderId="10" xfId="0" applyFont="1" applyFill="1" applyBorder="1" applyAlignment="1">
      <alignment horizontal="left" vertical="top" wrapText="1"/>
    </xf>
    <xf numFmtId="0" fontId="24" fillId="8" borderId="82" xfId="0" applyFont="1" applyFill="1" applyBorder="1" applyAlignment="1">
      <alignment horizontal="left" vertical="top" wrapText="1"/>
    </xf>
    <xf numFmtId="0" fontId="24" fillId="8" borderId="83" xfId="0" applyFont="1" applyFill="1" applyBorder="1" applyAlignment="1">
      <alignment horizontal="left" vertical="top" wrapText="1"/>
    </xf>
    <xf numFmtId="0" fontId="10" fillId="0" borderId="73" xfId="0" applyFont="1" applyBorder="1" applyAlignment="1">
      <alignment horizontal="left" vertical="top" wrapText="1"/>
    </xf>
    <xf numFmtId="0" fontId="10" fillId="0" borderId="75" xfId="0" applyFont="1" applyBorder="1" applyAlignment="1">
      <alignment horizontal="left" vertical="top" wrapText="1"/>
    </xf>
    <xf numFmtId="0" fontId="11" fillId="0" borderId="66" xfId="0" applyFont="1" applyBorder="1" applyAlignment="1">
      <alignment horizontal="left" vertical="top" wrapText="1"/>
    </xf>
    <xf numFmtId="0" fontId="11" fillId="0" borderId="67" xfId="0" applyFont="1" applyBorder="1" applyAlignment="1">
      <alignment horizontal="left" vertical="top" wrapText="1"/>
    </xf>
    <xf numFmtId="0" fontId="12" fillId="0" borderId="67" xfId="0" applyFont="1" applyBorder="1" applyAlignment="1">
      <alignment horizontal="left" vertical="top" wrapText="1"/>
    </xf>
    <xf numFmtId="0" fontId="10" fillId="0" borderId="15" xfId="0" applyFont="1" applyBorder="1" applyAlignment="1">
      <alignment horizontal="left" vertical="top" wrapText="1"/>
    </xf>
    <xf numFmtId="0" fontId="25" fillId="0" borderId="2" xfId="0" applyFont="1" applyBorder="1" applyAlignment="1">
      <alignment horizontal="left" vertical="top" wrapText="1"/>
    </xf>
    <xf numFmtId="0" fontId="10" fillId="0" borderId="20" xfId="0" applyFont="1" applyBorder="1" applyAlignment="1">
      <alignment horizontal="left" vertical="top" wrapText="1"/>
    </xf>
    <xf numFmtId="0" fontId="24" fillId="0" borderId="18" xfId="0" applyFont="1" applyBorder="1" applyAlignment="1">
      <alignment horizontal="left" vertical="top" wrapText="1"/>
    </xf>
    <xf numFmtId="0" fontId="25" fillId="0" borderId="8" xfId="0" applyFont="1" applyBorder="1" applyAlignment="1">
      <alignment horizontal="left" vertical="top" wrapText="1"/>
    </xf>
    <xf numFmtId="0" fontId="23" fillId="0" borderId="15" xfId="0" applyFont="1" applyBorder="1" applyAlignment="1">
      <alignment horizontal="left" vertical="top" wrapText="1"/>
    </xf>
    <xf numFmtId="0" fontId="11" fillId="0" borderId="7" xfId="0" applyFont="1" applyBorder="1" applyAlignment="1">
      <alignment horizontal="left" vertical="top" wrapText="1"/>
    </xf>
    <xf numFmtId="0" fontId="11" fillId="0" borderId="11" xfId="0" applyFont="1" applyBorder="1" applyAlignment="1">
      <alignment horizontal="left" vertical="top" wrapText="1"/>
    </xf>
    <xf numFmtId="0" fontId="33" fillId="0" borderId="0" xfId="3" applyAlignment="1" applyProtection="1">
      <alignment horizontal="left"/>
    </xf>
    <xf numFmtId="0" fontId="35" fillId="0" borderId="0" xfId="0" applyFont="1" applyAlignment="1">
      <alignment horizontal="center"/>
    </xf>
    <xf numFmtId="0" fontId="34" fillId="0" borderId="0" xfId="0" applyFont="1" applyAlignment="1">
      <alignment horizontal="center"/>
    </xf>
    <xf numFmtId="0" fontId="10" fillId="0" borderId="0" xfId="0" applyFont="1" applyAlignment="1">
      <alignment horizontal="left" vertical="top"/>
    </xf>
    <xf numFmtId="0" fontId="17" fillId="0" borderId="0" xfId="0" applyFont="1" applyAlignment="1">
      <alignment horizontal="left" wrapText="1"/>
    </xf>
    <xf numFmtId="0" fontId="11" fillId="0" borderId="9" xfId="0" applyFont="1" applyBorder="1" applyAlignment="1">
      <alignment horizontal="left" vertical="top" wrapText="1"/>
    </xf>
    <xf numFmtId="0" fontId="11" fillId="0" borderId="5" xfId="0" applyFont="1" applyBorder="1" applyAlignment="1">
      <alignment horizontal="left" vertical="top" wrapText="1"/>
    </xf>
    <xf numFmtId="0" fontId="12" fillId="0" borderId="2" xfId="0" applyFont="1" applyBorder="1" applyAlignment="1">
      <alignment horizontal="left" vertical="top" wrapText="1"/>
    </xf>
    <xf numFmtId="0" fontId="58" fillId="0" borderId="0" xfId="0" applyFont="1" applyAlignment="1">
      <alignment horizontal="center" vertical="center"/>
    </xf>
    <xf numFmtId="0" fontId="37" fillId="0" borderId="0" xfId="0" applyFont="1" applyAlignment="1">
      <alignment horizontal="center"/>
    </xf>
    <xf numFmtId="0" fontId="56" fillId="0" borderId="0" xfId="0" applyFont="1" applyAlignment="1">
      <alignment horizontal="center" vertical="center"/>
    </xf>
    <xf numFmtId="0" fontId="0" fillId="5" borderId="1" xfId="0" applyFill="1" applyBorder="1" applyAlignment="1">
      <alignment horizontal="center"/>
    </xf>
    <xf numFmtId="0" fontId="0" fillId="5" borderId="33" xfId="0" applyFill="1" applyBorder="1" applyAlignment="1">
      <alignment horizontal="center"/>
    </xf>
    <xf numFmtId="0" fontId="41" fillId="5" borderId="30" xfId="0" applyFont="1" applyFill="1" applyBorder="1" applyAlignment="1">
      <alignment horizontal="left" vertical="top"/>
    </xf>
    <xf numFmtId="0" fontId="41" fillId="5" borderId="28" xfId="0" applyFont="1" applyFill="1" applyBorder="1" applyAlignment="1">
      <alignment horizontal="left" vertical="top"/>
    </xf>
    <xf numFmtId="0" fontId="41" fillId="5" borderId="33" xfId="0" applyFont="1" applyFill="1" applyBorder="1" applyAlignment="1">
      <alignment horizontal="left" vertical="top"/>
    </xf>
    <xf numFmtId="0" fontId="41" fillId="5" borderId="44" xfId="0" applyFont="1" applyFill="1" applyBorder="1" applyAlignment="1">
      <alignment horizontal="left" vertical="top"/>
    </xf>
    <xf numFmtId="0" fontId="3" fillId="3" borderId="112" xfId="0" applyFont="1" applyFill="1" applyBorder="1" applyAlignment="1" applyProtection="1">
      <alignment horizontal="center" vertical="center"/>
      <protection locked="0"/>
    </xf>
    <xf numFmtId="0" fontId="36" fillId="3" borderId="5" xfId="0" applyFont="1" applyFill="1" applyBorder="1" applyAlignment="1" applyProtection="1">
      <alignment horizontal="left" vertical="center"/>
      <protection locked="0"/>
    </xf>
    <xf numFmtId="0" fontId="36" fillId="3" borderId="42" xfId="0" applyFont="1" applyFill="1" applyBorder="1" applyAlignment="1" applyProtection="1">
      <alignment horizontal="left" vertical="center"/>
      <protection locked="0"/>
    </xf>
    <xf numFmtId="3" fontId="36" fillId="7" borderId="5" xfId="0" applyNumberFormat="1" applyFont="1" applyFill="1" applyBorder="1" applyAlignment="1">
      <alignment horizontal="left" vertical="center" indent="1"/>
    </xf>
    <xf numFmtId="3" fontId="36" fillId="7" borderId="42" xfId="0" applyNumberFormat="1" applyFont="1" applyFill="1" applyBorder="1" applyAlignment="1">
      <alignment horizontal="left" vertical="center" indent="1"/>
    </xf>
    <xf numFmtId="3" fontId="36" fillId="7" borderId="6" xfId="0" applyNumberFormat="1" applyFont="1" applyFill="1" applyBorder="1" applyAlignment="1">
      <alignment horizontal="left" vertical="center" indent="1"/>
    </xf>
    <xf numFmtId="0" fontId="44" fillId="5" borderId="42" xfId="0" applyFont="1" applyFill="1" applyBorder="1" applyAlignment="1">
      <alignment horizontal="center" vertical="center"/>
    </xf>
    <xf numFmtId="0" fontId="44" fillId="5" borderId="87" xfId="0" applyFont="1" applyFill="1" applyBorder="1" applyAlignment="1">
      <alignment horizontal="center" vertical="center"/>
    </xf>
    <xf numFmtId="0" fontId="41" fillId="5" borderId="90" xfId="0" applyFont="1" applyFill="1" applyBorder="1" applyAlignment="1">
      <alignment horizontal="left" vertical="top"/>
    </xf>
    <xf numFmtId="0" fontId="41" fillId="5" borderId="91" xfId="0" applyFont="1" applyFill="1" applyBorder="1" applyAlignment="1">
      <alignment horizontal="left" vertical="top"/>
    </xf>
    <xf numFmtId="0" fontId="41" fillId="5" borderId="92" xfId="0" applyFont="1" applyFill="1" applyBorder="1" applyAlignment="1">
      <alignment horizontal="left" vertical="top"/>
    </xf>
    <xf numFmtId="0" fontId="41" fillId="5" borderId="9" xfId="0" applyFont="1" applyFill="1" applyBorder="1" applyAlignment="1">
      <alignment horizontal="left" vertical="top"/>
    </xf>
    <xf numFmtId="0" fontId="41" fillId="5" borderId="0" xfId="0" applyFont="1" applyFill="1" applyAlignment="1">
      <alignment horizontal="left" vertical="top"/>
    </xf>
    <xf numFmtId="0" fontId="41" fillId="5" borderId="10" xfId="0" applyFont="1" applyFill="1" applyBorder="1" applyAlignment="1">
      <alignment horizontal="left" vertical="top"/>
    </xf>
    <xf numFmtId="0" fontId="41" fillId="5" borderId="93" xfId="0" applyFont="1" applyFill="1" applyBorder="1" applyAlignment="1">
      <alignment horizontal="left" vertical="top"/>
    </xf>
    <xf numFmtId="0" fontId="41" fillId="5" borderId="94" xfId="0" applyFont="1" applyFill="1" applyBorder="1" applyAlignment="1">
      <alignment horizontal="left" vertical="top"/>
    </xf>
    <xf numFmtId="0" fontId="36" fillId="3" borderId="40" xfId="0" applyFont="1" applyFill="1" applyBorder="1" applyAlignment="1" applyProtection="1">
      <alignment horizontal="left" vertical="center"/>
      <protection locked="0"/>
    </xf>
    <xf numFmtId="0" fontId="36" fillId="3" borderId="6" xfId="0" applyFont="1" applyFill="1" applyBorder="1" applyAlignment="1" applyProtection="1">
      <alignment horizontal="left" vertical="center"/>
      <protection locked="0"/>
    </xf>
    <xf numFmtId="0" fontId="44" fillId="5" borderId="5" xfId="0" applyFont="1" applyFill="1" applyBorder="1" applyAlignment="1">
      <alignment horizontal="center" vertical="center"/>
    </xf>
    <xf numFmtId="0" fontId="44" fillId="5" borderId="6" xfId="0" applyFont="1" applyFill="1" applyBorder="1" applyAlignment="1">
      <alignment horizontal="center" vertical="center"/>
    </xf>
    <xf numFmtId="0" fontId="36" fillId="3" borderId="3" xfId="0" applyFont="1" applyFill="1" applyBorder="1" applyAlignment="1" applyProtection="1">
      <alignment horizontal="left"/>
      <protection locked="0"/>
    </xf>
    <xf numFmtId="0" fontId="36" fillId="3" borderId="0" xfId="0" applyFont="1" applyFill="1" applyAlignment="1" applyProtection="1">
      <alignment horizontal="left"/>
      <protection locked="0"/>
    </xf>
    <xf numFmtId="0" fontId="36" fillId="3" borderId="10" xfId="0" applyFont="1" applyFill="1" applyBorder="1" applyAlignment="1" applyProtection="1">
      <alignment horizontal="left"/>
      <protection locked="0"/>
    </xf>
    <xf numFmtId="0" fontId="36" fillId="3" borderId="40" xfId="0" applyFont="1" applyFill="1" applyBorder="1" applyAlignment="1" applyProtection="1">
      <alignment horizontal="left"/>
      <protection locked="0"/>
    </xf>
    <xf numFmtId="0" fontId="36" fillId="3" borderId="42" xfId="0" applyFont="1" applyFill="1" applyBorder="1" applyAlignment="1" applyProtection="1">
      <alignment horizontal="left"/>
      <protection locked="0"/>
    </xf>
    <xf numFmtId="0" fontId="36" fillId="3" borderId="6" xfId="0" applyFont="1" applyFill="1" applyBorder="1" applyAlignment="1" applyProtection="1">
      <alignment horizontal="left"/>
      <protection locked="0"/>
    </xf>
    <xf numFmtId="0" fontId="46" fillId="11" borderId="91" xfId="0" applyFont="1" applyFill="1" applyBorder="1" applyAlignment="1">
      <alignment horizontal="left" vertical="top"/>
    </xf>
    <xf numFmtId="0" fontId="46" fillId="11" borderId="92" xfId="0" applyFont="1" applyFill="1" applyBorder="1" applyAlignment="1">
      <alignment horizontal="left" vertical="top"/>
    </xf>
    <xf numFmtId="1" fontId="36" fillId="7" borderId="9" xfId="0" applyNumberFormat="1" applyFont="1" applyFill="1" applyBorder="1" applyAlignment="1">
      <alignment horizontal="left" indent="1"/>
    </xf>
    <xf numFmtId="1" fontId="36" fillId="7" borderId="45" xfId="0" applyNumberFormat="1" applyFont="1" applyFill="1" applyBorder="1" applyAlignment="1">
      <alignment horizontal="left" indent="1"/>
    </xf>
    <xf numFmtId="0" fontId="44" fillId="5" borderId="40" xfId="0" applyFont="1" applyFill="1" applyBorder="1" applyAlignment="1">
      <alignment horizontal="center" vertical="center"/>
    </xf>
    <xf numFmtId="0" fontId="36" fillId="11" borderId="5" xfId="0" applyFont="1" applyFill="1" applyBorder="1" applyAlignment="1">
      <alignment horizontal="left"/>
    </xf>
    <xf numFmtId="0" fontId="36" fillId="11" borderId="42" xfId="0" applyFont="1" applyFill="1" applyBorder="1" applyAlignment="1">
      <alignment horizontal="left"/>
    </xf>
    <xf numFmtId="0" fontId="36" fillId="11" borderId="6" xfId="0" applyFont="1" applyFill="1" applyBorder="1" applyAlignment="1">
      <alignment horizontal="left"/>
    </xf>
    <xf numFmtId="0" fontId="36" fillId="3" borderId="9" xfId="0" applyFont="1" applyFill="1" applyBorder="1" applyAlignment="1" applyProtection="1">
      <alignment horizontal="left" vertical="center" indent="1"/>
      <protection locked="0"/>
    </xf>
    <xf numFmtId="0" fontId="36" fillId="3" borderId="45" xfId="0" applyFont="1" applyFill="1" applyBorder="1" applyAlignment="1" applyProtection="1">
      <alignment horizontal="left" vertical="center" indent="1"/>
      <protection locked="0"/>
    </xf>
    <xf numFmtId="0" fontId="0" fillId="3" borderId="3" xfId="0" applyFill="1" applyBorder="1" applyAlignment="1" applyProtection="1">
      <alignment horizontal="left"/>
      <protection locked="0"/>
    </xf>
    <xf numFmtId="0" fontId="0" fillId="3" borderId="0" xfId="0" applyFill="1" applyAlignment="1" applyProtection="1">
      <alignment horizontal="left"/>
      <protection locked="0"/>
    </xf>
    <xf numFmtId="0" fontId="0" fillId="3" borderId="10" xfId="0" applyFill="1" applyBorder="1" applyAlignment="1" applyProtection="1">
      <alignment horizontal="left"/>
      <protection locked="0"/>
    </xf>
    <xf numFmtId="0" fontId="36" fillId="5" borderId="5" xfId="0" applyFont="1" applyFill="1" applyBorder="1" applyAlignment="1">
      <alignment horizontal="left"/>
    </xf>
    <xf numFmtId="0" fontId="36" fillId="5" borderId="87" xfId="0" applyFont="1" applyFill="1" applyBorder="1" applyAlignment="1">
      <alignment horizontal="left"/>
    </xf>
    <xf numFmtId="0" fontId="41" fillId="5" borderId="40" xfId="0" applyFont="1" applyFill="1" applyBorder="1" applyAlignment="1">
      <alignment horizontal="left"/>
    </xf>
    <xf numFmtId="0" fontId="41" fillId="5" borderId="42" xfId="0" applyFont="1" applyFill="1" applyBorder="1" applyAlignment="1">
      <alignment horizontal="left"/>
    </xf>
    <xf numFmtId="0" fontId="41" fillId="5" borderId="6" xfId="0" applyFont="1" applyFill="1" applyBorder="1" applyAlignment="1">
      <alignment horizontal="left"/>
    </xf>
    <xf numFmtId="0" fontId="36" fillId="11" borderId="100" xfId="0" applyFont="1" applyFill="1" applyBorder="1" applyAlignment="1">
      <alignment horizontal="center"/>
    </xf>
    <xf numFmtId="0" fontId="36" fillId="11" borderId="43" xfId="0" applyFont="1" applyFill="1" applyBorder="1" applyAlignment="1">
      <alignment horizontal="center"/>
    </xf>
    <xf numFmtId="0" fontId="36" fillId="11" borderId="102" xfId="0" applyFont="1" applyFill="1" applyBorder="1" applyAlignment="1">
      <alignment horizontal="center"/>
    </xf>
    <xf numFmtId="0" fontId="41" fillId="5" borderId="93" xfId="0" applyFont="1" applyFill="1" applyBorder="1" applyAlignment="1">
      <alignment horizontal="center" vertical="top"/>
    </xf>
    <xf numFmtId="0" fontId="41" fillId="5" borderId="92" xfId="0" applyFont="1" applyFill="1" applyBorder="1" applyAlignment="1">
      <alignment horizontal="center" vertical="top"/>
    </xf>
    <xf numFmtId="0" fontId="36" fillId="3" borderId="106" xfId="0" applyFont="1" applyFill="1" applyBorder="1" applyAlignment="1" applyProtection="1">
      <alignment horizontal="left" vertical="center"/>
      <protection locked="0"/>
    </xf>
    <xf numFmtId="0" fontId="36" fillId="3" borderId="107" xfId="0" applyFont="1" applyFill="1" applyBorder="1" applyAlignment="1" applyProtection="1">
      <alignment horizontal="left" vertical="center"/>
      <protection locked="0"/>
    </xf>
    <xf numFmtId="0" fontId="44" fillId="5" borderId="106" xfId="0" applyFont="1" applyFill="1" applyBorder="1" applyAlignment="1">
      <alignment horizontal="center"/>
    </xf>
    <xf numFmtId="0" fontId="44" fillId="5" borderId="108" xfId="0" applyFont="1" applyFill="1" applyBorder="1" applyAlignment="1">
      <alignment horizontal="center"/>
    </xf>
    <xf numFmtId="3" fontId="36" fillId="7" borderId="106" xfId="0" applyNumberFormat="1" applyFont="1" applyFill="1" applyBorder="1" applyAlignment="1">
      <alignment horizontal="left" vertical="center" indent="1"/>
    </xf>
    <xf numFmtId="3" fontId="36" fillId="7" borderId="108" xfId="0" applyNumberFormat="1" applyFont="1" applyFill="1" applyBorder="1" applyAlignment="1">
      <alignment horizontal="left" vertical="center" indent="1"/>
    </xf>
    <xf numFmtId="3" fontId="36" fillId="7" borderId="107" xfId="0" applyNumberFormat="1" applyFont="1" applyFill="1" applyBorder="1" applyAlignment="1">
      <alignment horizontal="left" vertical="center" indent="1"/>
    </xf>
    <xf numFmtId="0" fontId="0" fillId="5" borderId="21" xfId="0" applyFill="1" applyBorder="1" applyAlignment="1">
      <alignment horizontal="center" vertical="center"/>
    </xf>
    <xf numFmtId="0" fontId="0" fillId="5" borderId="35" xfId="0" applyFill="1" applyBorder="1" applyAlignment="1">
      <alignment horizontal="center" vertical="center"/>
    </xf>
    <xf numFmtId="0" fontId="0" fillId="5" borderId="31" xfId="0" applyFill="1" applyBorder="1" applyAlignment="1">
      <alignment horizontal="center" vertical="center"/>
    </xf>
    <xf numFmtId="0" fontId="11" fillId="0" borderId="0" xfId="0" applyFont="1" applyAlignment="1">
      <alignment horizontal="left" vertical="center"/>
    </xf>
    <xf numFmtId="0" fontId="53" fillId="0" borderId="0" xfId="0" applyFont="1" applyAlignment="1">
      <alignment horizontal="center" vertical="top" wrapText="1"/>
    </xf>
    <xf numFmtId="0" fontId="3" fillId="0" borderId="0" xfId="0" applyFont="1" applyAlignment="1">
      <alignment horizontal="left" vertical="center"/>
    </xf>
    <xf numFmtId="0" fontId="26" fillId="7" borderId="0" xfId="0" applyFont="1" applyFill="1" applyAlignment="1">
      <alignment horizontal="left" vertical="center" wrapText="1"/>
    </xf>
    <xf numFmtId="0" fontId="26" fillId="0" borderId="0" xfId="0" applyFont="1" applyAlignment="1">
      <alignment horizontal="left" wrapText="1"/>
    </xf>
    <xf numFmtId="0" fontId="51" fillId="0" borderId="0" xfId="0" applyFont="1" applyAlignment="1">
      <alignment horizontal="left" vertical="top" wrapText="1"/>
    </xf>
    <xf numFmtId="0" fontId="26" fillId="3" borderId="0" xfId="0" applyFont="1" applyFill="1" applyAlignment="1">
      <alignment horizontal="left" vertical="center"/>
    </xf>
    <xf numFmtId="0" fontId="36" fillId="0" borderId="0" xfId="0" applyFont="1" applyAlignment="1">
      <alignment horizontal="left"/>
    </xf>
    <xf numFmtId="0" fontId="0" fillId="0" borderId="0" xfId="0" applyAlignment="1">
      <alignment horizontal="left"/>
    </xf>
    <xf numFmtId="0" fontId="0" fillId="0" borderId="1" xfId="0" applyBorder="1" applyAlignment="1">
      <alignment horizontal="left" wrapText="1"/>
    </xf>
    <xf numFmtId="0" fontId="0" fillId="0" borderId="30" xfId="0" applyBorder="1" applyAlignment="1">
      <alignment horizontal="left" wrapText="1"/>
    </xf>
    <xf numFmtId="0" fontId="0" fillId="0" borderId="44" xfId="0" applyBorder="1" applyAlignment="1">
      <alignment horizontal="left" wrapText="1"/>
    </xf>
    <xf numFmtId="0" fontId="0" fillId="0" borderId="3" xfId="0" applyBorder="1" applyAlignment="1">
      <alignment horizontal="left" wrapText="1"/>
    </xf>
    <xf numFmtId="0" fontId="0" fillId="0" borderId="0" xfId="0" applyAlignment="1">
      <alignment horizontal="left" wrapText="1"/>
    </xf>
    <xf numFmtId="0" fontId="0" fillId="0" borderId="45" xfId="0" applyBorder="1" applyAlignment="1">
      <alignment horizontal="left"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32" fillId="0" borderId="0" xfId="0" applyFont="1" applyAlignment="1">
      <alignment horizontal="left" vertical="center"/>
    </xf>
    <xf numFmtId="0" fontId="27" fillId="0" borderId="1" xfId="0" applyFont="1" applyBorder="1" applyAlignment="1">
      <alignment horizontal="center"/>
    </xf>
    <xf numFmtId="0" fontId="27" fillId="0" borderId="30" xfId="0" applyFont="1" applyBorder="1" applyAlignment="1">
      <alignment horizontal="center"/>
    </xf>
    <xf numFmtId="0" fontId="27" fillId="0" borderId="44" xfId="0" applyFont="1" applyBorder="1" applyAlignment="1">
      <alignment horizontal="center"/>
    </xf>
    <xf numFmtId="0" fontId="28" fillId="0" borderId="1" xfId="0" quotePrefix="1" applyFont="1" applyBorder="1" applyAlignment="1">
      <alignment horizontal="left" vertical="top" wrapText="1" indent="1"/>
    </xf>
    <xf numFmtId="0" fontId="28" fillId="0" borderId="30" xfId="0" quotePrefix="1" applyFont="1" applyBorder="1" applyAlignment="1">
      <alignment horizontal="left" vertical="top" wrapText="1" indent="1"/>
    </xf>
    <xf numFmtId="0" fontId="28" fillId="0" borderId="44" xfId="0" quotePrefix="1" applyFont="1" applyBorder="1" applyAlignment="1">
      <alignment horizontal="left" vertical="top" wrapText="1" indent="1"/>
    </xf>
    <xf numFmtId="0" fontId="28" fillId="0" borderId="3" xfId="0" quotePrefix="1" applyFont="1" applyBorder="1" applyAlignment="1">
      <alignment horizontal="left" vertical="top" wrapText="1" indent="1"/>
    </xf>
    <xf numFmtId="0" fontId="28" fillId="0" borderId="0" xfId="0" quotePrefix="1" applyFont="1" applyAlignment="1">
      <alignment horizontal="left" vertical="top" wrapText="1" indent="1"/>
    </xf>
    <xf numFmtId="0" fontId="28" fillId="0" borderId="45" xfId="0" quotePrefix="1" applyFont="1" applyBorder="1" applyAlignment="1">
      <alignment horizontal="left" vertical="top" wrapText="1" indent="1"/>
    </xf>
    <xf numFmtId="0" fontId="28" fillId="0" borderId="4" xfId="0" quotePrefix="1" applyFont="1" applyBorder="1" applyAlignment="1">
      <alignment horizontal="left" vertical="top" wrapText="1" indent="1"/>
    </xf>
    <xf numFmtId="0" fontId="28" fillId="0" borderId="31" xfId="0" quotePrefix="1" applyFont="1" applyBorder="1" applyAlignment="1">
      <alignment horizontal="left" vertical="top" wrapText="1" indent="1"/>
    </xf>
    <xf numFmtId="0" fontId="28" fillId="0" borderId="46" xfId="0" quotePrefix="1" applyFont="1" applyBorder="1" applyAlignment="1">
      <alignment horizontal="left" vertical="top" wrapText="1" indent="1"/>
    </xf>
    <xf numFmtId="10" fontId="6" fillId="5" borderId="30" xfId="2" applyNumberFormat="1" applyFont="1" applyFill="1" applyBorder="1" applyAlignment="1">
      <alignment horizontal="center" vertical="center" wrapText="1"/>
    </xf>
    <xf numFmtId="10" fontId="6" fillId="5" borderId="31" xfId="2" applyNumberFormat="1" applyFont="1" applyFill="1" applyBorder="1" applyAlignment="1">
      <alignment horizontal="center" vertical="center" wrapText="1"/>
    </xf>
    <xf numFmtId="10" fontId="6" fillId="5" borderId="86" xfId="2" applyNumberFormat="1" applyFont="1" applyFill="1" applyBorder="1" applyAlignment="1">
      <alignment horizontal="center" vertical="center" wrapText="1"/>
    </xf>
    <xf numFmtId="10" fontId="6" fillId="5" borderId="49" xfId="2" applyNumberFormat="1" applyFont="1" applyFill="1" applyBorder="1" applyAlignment="1">
      <alignment horizontal="center" vertical="center" wrapText="1"/>
    </xf>
    <xf numFmtId="0" fontId="0" fillId="0" borderId="90" xfId="0" applyBorder="1" applyAlignment="1">
      <alignment horizontal="left" wrapText="1"/>
    </xf>
    <xf numFmtId="0" fontId="0" fillId="0" borderId="4" xfId="0" applyBorder="1" applyAlignment="1">
      <alignment horizontal="left" wrapText="1"/>
    </xf>
    <xf numFmtId="43" fontId="0" fillId="2" borderId="37" xfId="4" applyFont="1" applyFill="1" applyBorder="1" applyAlignment="1">
      <alignment horizontal="right"/>
    </xf>
    <xf numFmtId="43" fontId="0" fillId="2" borderId="32" xfId="4" applyFont="1" applyFill="1" applyBorder="1" applyAlignment="1">
      <alignment horizontal="right"/>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00"/>
      <color rgb="FF5B9BD5"/>
      <color rgb="FF70AD47"/>
      <color rgb="FF4DC58D"/>
      <color rgb="FF057B3A"/>
      <color rgb="FF9255AB"/>
      <color rgb="FFA456AA"/>
      <color rgb="FFA53AC6"/>
      <color rgb="FF851EAE"/>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Rostered Leader'!A1"/></Relationships>
</file>

<file path=xl/drawings/drawing1.xml><?xml version="1.0" encoding="utf-8"?>
<xdr:wsDr xmlns:xdr="http://schemas.openxmlformats.org/drawingml/2006/spreadsheetDrawing" xmlns:a="http://schemas.openxmlformats.org/drawingml/2006/main">
  <xdr:twoCellAnchor editAs="oneCell">
    <xdr:from>
      <xdr:col>3</xdr:col>
      <xdr:colOff>600076</xdr:colOff>
      <xdr:row>1</xdr:row>
      <xdr:rowOff>83819</xdr:rowOff>
    </xdr:from>
    <xdr:to>
      <xdr:col>4</xdr:col>
      <xdr:colOff>723900</xdr:colOff>
      <xdr:row>5</xdr:row>
      <xdr:rowOff>391860</xdr:rowOff>
    </xdr:to>
    <xdr:pic>
      <xdr:nvPicPr>
        <xdr:cNvPr id="4" name="Picture 3">
          <a:extLst>
            <a:ext uri="{FF2B5EF4-FFF2-40B4-BE49-F238E27FC236}">
              <a16:creationId xmlns:a16="http://schemas.microsoft.com/office/drawing/2014/main" id="{6E8BBB94-CFCB-68B1-85D1-3AEF9E72FA2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51550"/>
        <a:stretch/>
      </xdr:blipFill>
      <xdr:spPr>
        <a:xfrm>
          <a:off x="6886576" y="407669"/>
          <a:ext cx="952499" cy="953836"/>
        </a:xfrm>
        <a:prstGeom prst="rect">
          <a:avLst/>
        </a:prstGeom>
      </xdr:spPr>
    </xdr:pic>
    <xdr:clientData/>
  </xdr:twoCellAnchor>
  <xdr:twoCellAnchor editAs="oneCell">
    <xdr:from>
      <xdr:col>2</xdr:col>
      <xdr:colOff>2506980</xdr:colOff>
      <xdr:row>1</xdr:row>
      <xdr:rowOff>98245</xdr:rowOff>
    </xdr:from>
    <xdr:to>
      <xdr:col>3</xdr:col>
      <xdr:colOff>561976</xdr:colOff>
      <xdr:row>5</xdr:row>
      <xdr:rowOff>436124</xdr:rowOff>
    </xdr:to>
    <xdr:pic>
      <xdr:nvPicPr>
        <xdr:cNvPr id="7" name="Picture 6">
          <a:extLst>
            <a:ext uri="{FF2B5EF4-FFF2-40B4-BE49-F238E27FC236}">
              <a16:creationId xmlns:a16="http://schemas.microsoft.com/office/drawing/2014/main" id="{E4EA10B5-073C-A5E0-C416-145171A2A9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88355" y="422095"/>
          <a:ext cx="962026" cy="989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3791857</xdr:colOff>
      <xdr:row>23</xdr:row>
      <xdr:rowOff>10771</xdr:rowOff>
    </xdr:from>
    <xdr:to>
      <xdr:col>1</xdr:col>
      <xdr:colOff>463123</xdr:colOff>
      <xdr:row>23</xdr:row>
      <xdr:rowOff>136072</xdr:rowOff>
    </xdr:to>
    <xdr:cxnSp macro="">
      <xdr:nvCxnSpPr>
        <xdr:cNvPr id="3" name="Connector: Elbow 2">
          <a:extLst>
            <a:ext uri="{FF2B5EF4-FFF2-40B4-BE49-F238E27FC236}">
              <a16:creationId xmlns:a16="http://schemas.microsoft.com/office/drawing/2014/main" id="{2F3DE687-6A1D-F6A8-6A8A-044EC8771668}"/>
            </a:ext>
          </a:extLst>
        </xdr:cNvPr>
        <xdr:cNvCxnSpPr/>
      </xdr:nvCxnSpPr>
      <xdr:spPr>
        <a:xfrm flipV="1">
          <a:off x="3791857" y="4643731"/>
          <a:ext cx="1167066" cy="125301"/>
        </a:xfrm>
        <a:prstGeom prst="bentConnector3">
          <a:avLst>
            <a:gd name="adj1" fmla="val 100030"/>
          </a:avLst>
        </a:prstGeom>
        <a:ln w="12700">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469533</xdr:colOff>
      <xdr:row>22</xdr:row>
      <xdr:rowOff>16156</xdr:rowOff>
    </xdr:from>
    <xdr:to>
      <xdr:col>2</xdr:col>
      <xdr:colOff>527746</xdr:colOff>
      <xdr:row>23</xdr:row>
      <xdr:rowOff>136848</xdr:rowOff>
    </xdr:to>
    <xdr:cxnSp macro="">
      <xdr:nvCxnSpPr>
        <xdr:cNvPr id="10" name="Connector: Elbow 9">
          <a:extLst>
            <a:ext uri="{FF2B5EF4-FFF2-40B4-BE49-F238E27FC236}">
              <a16:creationId xmlns:a16="http://schemas.microsoft.com/office/drawing/2014/main" id="{D84DA183-8CAA-4245-A0B7-9908EED26284}"/>
            </a:ext>
          </a:extLst>
        </xdr:cNvPr>
        <xdr:cNvCxnSpPr/>
      </xdr:nvCxnSpPr>
      <xdr:spPr>
        <a:xfrm flipV="1">
          <a:off x="4965333" y="4443376"/>
          <a:ext cx="919273" cy="326432"/>
        </a:xfrm>
        <a:prstGeom prst="bentConnector3">
          <a:avLst>
            <a:gd name="adj1" fmla="val 99763"/>
          </a:avLst>
        </a:prstGeom>
        <a:ln w="12700">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8966</xdr:colOff>
      <xdr:row>0</xdr:row>
      <xdr:rowOff>184274</xdr:rowOff>
    </xdr:from>
    <xdr:to>
      <xdr:col>18</xdr:col>
      <xdr:colOff>519954</xdr:colOff>
      <xdr:row>2</xdr:row>
      <xdr:rowOff>13945</xdr:rowOff>
    </xdr:to>
    <xdr:grpSp>
      <xdr:nvGrpSpPr>
        <xdr:cNvPr id="10" name="Group 9">
          <a:extLst>
            <a:ext uri="{FF2B5EF4-FFF2-40B4-BE49-F238E27FC236}">
              <a16:creationId xmlns:a16="http://schemas.microsoft.com/office/drawing/2014/main" id="{3DC64639-B7CC-4E9D-B406-A5C1A5BEFB5C}"/>
            </a:ext>
          </a:extLst>
        </xdr:cNvPr>
        <xdr:cNvGrpSpPr/>
      </xdr:nvGrpSpPr>
      <xdr:grpSpPr>
        <a:xfrm>
          <a:off x="13033522" y="184274"/>
          <a:ext cx="3417876" cy="281227"/>
          <a:chOff x="7844118" y="179791"/>
          <a:chExt cx="2026023" cy="286871"/>
        </a:xfrm>
      </xdr:grpSpPr>
      <xdr:sp macro="" textlink="">
        <xdr:nvSpPr>
          <xdr:cNvPr id="11" name="Rectangle: Rounded Corners 10">
            <a:extLst>
              <a:ext uri="{FF2B5EF4-FFF2-40B4-BE49-F238E27FC236}">
                <a16:creationId xmlns:a16="http://schemas.microsoft.com/office/drawing/2014/main" id="{CB62D433-830C-4910-A98A-E9E8291EFC26}"/>
              </a:ext>
            </a:extLst>
          </xdr:cNvPr>
          <xdr:cNvSpPr/>
        </xdr:nvSpPr>
        <xdr:spPr>
          <a:xfrm>
            <a:off x="7844118" y="210689"/>
            <a:ext cx="2026023" cy="255475"/>
          </a:xfrm>
          <a:prstGeom prst="roundRect">
            <a:avLst>
              <a:gd name="adj" fmla="val 26667"/>
            </a:avLst>
          </a:prstGeom>
          <a:solidFill>
            <a:srgbClr val="C00000"/>
          </a:solidFill>
          <a:ln>
            <a:noFill/>
          </a:ln>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solidFill>
                <a:srgbClr val="C00000"/>
              </a:solidFill>
            </a:endParaRPr>
          </a:p>
        </xdr:txBody>
      </xdr:sp>
      <xdr:sp macro="" textlink="">
        <xdr:nvSpPr>
          <xdr:cNvPr id="12" name="TextBox 11">
            <a:hlinkClick xmlns:r="http://schemas.openxmlformats.org/officeDocument/2006/relationships" r:id="rId1"/>
            <a:extLst>
              <a:ext uri="{FF2B5EF4-FFF2-40B4-BE49-F238E27FC236}">
                <a16:creationId xmlns:a16="http://schemas.microsoft.com/office/drawing/2014/main" id="{EF516489-F4B3-4368-8DD3-853BA647F321}"/>
              </a:ext>
            </a:extLst>
          </xdr:cNvPr>
          <xdr:cNvSpPr txBox="1"/>
        </xdr:nvSpPr>
        <xdr:spPr>
          <a:xfrm>
            <a:off x="7859381" y="179791"/>
            <a:ext cx="1953711" cy="286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300" b="1">
                <a:solidFill>
                  <a:schemeClr val="bg1"/>
                </a:solidFill>
              </a:rPr>
              <a:t>Return</a:t>
            </a:r>
            <a:r>
              <a:rPr lang="en-US" sz="1300" b="1" baseline="0">
                <a:solidFill>
                  <a:schemeClr val="bg1"/>
                </a:solidFill>
              </a:rPr>
              <a:t> to Rostered Leader Worksheet</a:t>
            </a:r>
          </a:p>
        </xdr:txBody>
      </xdr:sp>
    </xdr:grpSp>
    <xdr:clientData/>
  </xdr:twoCellAnchor>
  <xdr:twoCellAnchor>
    <xdr:from>
      <xdr:col>15</xdr:col>
      <xdr:colOff>546849</xdr:colOff>
      <xdr:row>2</xdr:row>
      <xdr:rowOff>24633</xdr:rowOff>
    </xdr:from>
    <xdr:to>
      <xdr:col>17</xdr:col>
      <xdr:colOff>358588</xdr:colOff>
      <xdr:row>3</xdr:row>
      <xdr:rowOff>80682</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3A18E795-333D-46F5-A0F1-88CE6754EED6}"/>
            </a:ext>
          </a:extLst>
        </xdr:cNvPr>
        <xdr:cNvSpPr/>
      </xdr:nvSpPr>
      <xdr:spPr>
        <a:xfrm>
          <a:off x="9152967" y="481833"/>
          <a:ext cx="2034986" cy="2622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David Stock" id="{59553C7F-8205-4BFA-AC6A-11122F247502}" userId="David Stock"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 dT="2022-04-26T03:32:18.19" personId="{59553C7F-8205-4BFA-AC6A-11122F247502}" id="{8E915DC6-EB60-455A-BABF-F8D7AD615854}">
    <text>Previous year's baseline times the annual inflation rate.</text>
  </threadedComment>
  <threadedComment ref="F5" dT="2022-04-26T03:32:40.52" personId="{59553C7F-8205-4BFA-AC6A-11122F247502}" id="{D9AC0EB3-4521-45B1-A65B-85647CFACA18}">
    <text>2021 baseline times the accrued inflation rate.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ss-elca.org/documents" TargetMode="External"/><Relationship Id="rId1" Type="http://schemas.openxmlformats.org/officeDocument/2006/relationships/hyperlink" Target="https://www.css-elca.org/documen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rs.gov/orderforms" TargetMode="External"/><Relationship Id="rId2" Type="http://schemas.openxmlformats.org/officeDocument/2006/relationships/hyperlink" Target="https://www.socialsecurity.gov/employer" TargetMode="External"/><Relationship Id="rId1" Type="http://schemas.openxmlformats.org/officeDocument/2006/relationships/hyperlink" Target="https://www.irs.gov/forms-pubs/about-form-w-2"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www.zillow.com/home-values" TargetMode="External"/><Relationship Id="rId7" Type="http://schemas.openxmlformats.org/officeDocument/2006/relationships/comments" Target="../comments1.xml"/><Relationship Id="rId2" Type="http://schemas.openxmlformats.org/officeDocument/2006/relationships/hyperlink" Target="https://www.usinflationcalculator.com/inflation/current-inflation-rates/" TargetMode="External"/><Relationship Id="rId1" Type="http://schemas.openxmlformats.org/officeDocument/2006/relationships/hyperlink" Target="https://www.bls.gov/data/inflation_calculator.htm" TargetMode="External"/><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84"/>
  <sheetViews>
    <sheetView showGridLines="0" tabSelected="1" zoomScaleNormal="100" workbookViewId="0">
      <selection activeCell="D9" sqref="D9:E9"/>
    </sheetView>
  </sheetViews>
  <sheetFormatPr baseColWidth="10" defaultColWidth="8.6640625" defaultRowHeight="15" x14ac:dyDescent="0.2"/>
  <cols>
    <col min="1" max="1" width="19.5" customWidth="1"/>
    <col min="2" max="2" width="29.83203125" customWidth="1"/>
    <col min="3" max="3" width="42.33203125" customWidth="1"/>
    <col min="4" max="4" width="12.1640625" style="4" customWidth="1"/>
    <col min="5" max="5" width="12.33203125" style="5" customWidth="1"/>
    <col min="6" max="6" width="9.33203125" bestFit="1" customWidth="1"/>
    <col min="7" max="7" width="11" bestFit="1" customWidth="1"/>
  </cols>
  <sheetData>
    <row r="1" spans="1:8" ht="26" x14ac:dyDescent="0.3">
      <c r="A1" s="401" t="str">
        <f>"CSS MINISTER RECOMMENDED COMPENSATION WORKSHEET - "&amp;'Reference Values'!$J$4</f>
        <v>CSS MINISTER RECOMMENDED COMPENSATION WORKSHEET - 2024</v>
      </c>
      <c r="B1" s="402"/>
      <c r="C1" s="402"/>
      <c r="D1" s="402"/>
      <c r="E1" s="402"/>
    </row>
    <row r="2" spans="1:8" ht="10.25" customHeight="1" x14ac:dyDescent="0.2"/>
    <row r="3" spans="1:8" ht="15" customHeight="1" x14ac:dyDescent="0.2">
      <c r="A3" s="400" t="s">
        <v>110</v>
      </c>
      <c r="B3" s="400"/>
      <c r="C3" s="400"/>
      <c r="D3" s="400"/>
      <c r="E3" s="400"/>
    </row>
    <row r="4" spans="1:8" ht="15" customHeight="1" x14ac:dyDescent="0.2">
      <c r="A4" s="400" t="s">
        <v>109</v>
      </c>
      <c r="B4" s="400"/>
      <c r="C4" s="400"/>
      <c r="D4" s="400"/>
      <c r="E4" s="400"/>
      <c r="F4" s="310"/>
    </row>
    <row r="5" spans="1:8" ht="10.25" customHeight="1" x14ac:dyDescent="0.2"/>
    <row r="6" spans="1:8" ht="36" customHeight="1" x14ac:dyDescent="0.25">
      <c r="A6" s="404" t="s">
        <v>108</v>
      </c>
      <c r="B6" s="404"/>
      <c r="C6" s="404"/>
      <c r="D6" s="404"/>
      <c r="E6" s="404"/>
    </row>
    <row r="7" spans="1:8" ht="16" thickBot="1" x14ac:dyDescent="0.25">
      <c r="A7" s="35"/>
      <c r="B7" s="35"/>
      <c r="C7" s="35"/>
      <c r="D7" s="35"/>
      <c r="E7" s="35"/>
    </row>
    <row r="8" spans="1:8" ht="29.75" customHeight="1" thickBot="1" x14ac:dyDescent="0.25">
      <c r="A8" s="6" t="s">
        <v>5</v>
      </c>
      <c r="B8" s="322" t="s">
        <v>0</v>
      </c>
      <c r="C8" s="367"/>
      <c r="D8" s="7"/>
      <c r="E8" s="42"/>
    </row>
    <row r="9" spans="1:8" ht="15" customHeight="1" x14ac:dyDescent="0.2">
      <c r="A9" s="281" t="s">
        <v>244</v>
      </c>
      <c r="B9" s="306" t="s">
        <v>248</v>
      </c>
      <c r="C9" s="282" t="s">
        <v>247</v>
      </c>
      <c r="D9" s="318" t="s">
        <v>50</v>
      </c>
      <c r="E9" s="319"/>
    </row>
    <row r="10" spans="1:8" ht="14.75" customHeight="1" x14ac:dyDescent="0.2">
      <c r="A10" s="394" t="s">
        <v>32</v>
      </c>
      <c r="B10" s="405" t="s">
        <v>259</v>
      </c>
      <c r="C10" s="374" t="s">
        <v>260</v>
      </c>
      <c r="D10" s="18" t="s">
        <v>8</v>
      </c>
      <c r="E10" s="280" t="e">
        <f>'Reference Values'!J7*VLOOKUP(D9,'Reference Values'!I10:J13, 2, FALSE)</f>
        <v>#VALUE!</v>
      </c>
      <c r="F10" s="19"/>
      <c r="H10" s="36"/>
    </row>
    <row r="11" spans="1:8" ht="99" customHeight="1" x14ac:dyDescent="0.2">
      <c r="A11" s="392"/>
      <c r="B11" s="406"/>
      <c r="C11" s="375"/>
      <c r="D11" s="9"/>
      <c r="E11" s="10"/>
      <c r="H11" s="36"/>
    </row>
    <row r="12" spans="1:8" ht="15.5" customHeight="1" x14ac:dyDescent="0.2">
      <c r="A12" s="392" t="s">
        <v>6</v>
      </c>
      <c r="B12" s="375" t="s">
        <v>261</v>
      </c>
      <c r="C12" s="377" t="str">
        <f>'Reference Values'!I47</f>
        <v>In Box B, select the option that most closely matches the average local home prices and grocery costs in the area surrounding the congregation:
Below, near, or above the local median (currently, the Missouri/Kansas median home costs $226,368).
[AMOUNT C = 0 or $1,716.49 or $3,432.99]</v>
      </c>
      <c r="D12" s="11" t="s">
        <v>1</v>
      </c>
      <c r="E12" s="30" t="s">
        <v>50</v>
      </c>
    </row>
    <row r="13" spans="1:8" ht="15.5" customHeight="1" x14ac:dyDescent="0.2">
      <c r="A13" s="392"/>
      <c r="B13" s="375"/>
      <c r="C13" s="377"/>
      <c r="D13" s="11" t="s">
        <v>9</v>
      </c>
      <c r="E13" s="12" t="str">
        <f>VLOOKUP(E12,'Reference Values'!I16:J19, 2, FALSE)</f>
        <v>Enter above</v>
      </c>
      <c r="F13" s="19"/>
    </row>
    <row r="14" spans="1:8" ht="71" customHeight="1" x14ac:dyDescent="0.2">
      <c r="A14" s="392"/>
      <c r="B14" s="375"/>
      <c r="C14" s="377"/>
      <c r="D14" s="9"/>
      <c r="E14" s="10"/>
    </row>
    <row r="15" spans="1:8" ht="15.5" customHeight="1" x14ac:dyDescent="0.2">
      <c r="A15" s="392" t="s">
        <v>33</v>
      </c>
      <c r="B15" s="375" t="s">
        <v>262</v>
      </c>
      <c r="C15" s="407" t="s">
        <v>36</v>
      </c>
      <c r="D15" s="11" t="s">
        <v>10</v>
      </c>
      <c r="E15" s="13" t="e">
        <f>SUM(E10+E13)</f>
        <v>#VALUE!</v>
      </c>
    </row>
    <row r="16" spans="1:8" ht="29.75" customHeight="1" thickBot="1" x14ac:dyDescent="0.25">
      <c r="A16" s="355"/>
      <c r="B16" s="357"/>
      <c r="C16" s="357"/>
      <c r="D16" s="14"/>
      <c r="E16" s="38" t="str">
        <f>IF(ISERROR(SUM(E10+E13)),"You Must Enter Data Above"," ")</f>
        <v>You Must Enter Data Above</v>
      </c>
      <c r="G16" s="5"/>
    </row>
    <row r="17" spans="1:7" ht="24" customHeight="1" thickBot="1" x14ac:dyDescent="0.25"/>
    <row r="18" spans="1:7" ht="31.25" customHeight="1" thickBot="1" x14ac:dyDescent="0.25">
      <c r="A18" s="15" t="s">
        <v>7</v>
      </c>
      <c r="B18" s="322" t="s">
        <v>19</v>
      </c>
      <c r="C18" s="365"/>
      <c r="D18" s="16"/>
      <c r="E18" s="17"/>
    </row>
    <row r="19" spans="1:7" ht="16" thickBot="1" x14ac:dyDescent="0.25">
      <c r="A19" s="394" t="s">
        <v>2</v>
      </c>
      <c r="B19" s="374" t="s">
        <v>263</v>
      </c>
      <c r="C19" s="374" t="s">
        <v>264</v>
      </c>
      <c r="D19" s="43" t="s">
        <v>39</v>
      </c>
      <c r="E19" s="45"/>
      <c r="F19" s="19"/>
      <c r="G19" s="5"/>
    </row>
    <row r="20" spans="1:7" ht="42.5" customHeight="1" x14ac:dyDescent="0.2">
      <c r="A20" s="392"/>
      <c r="B20" s="375"/>
      <c r="C20" s="375"/>
      <c r="D20" s="9"/>
      <c r="E20" s="44"/>
    </row>
    <row r="21" spans="1:7" ht="14.75" customHeight="1" x14ac:dyDescent="0.2">
      <c r="A21" s="392" t="s">
        <v>37</v>
      </c>
      <c r="B21" s="375" t="s">
        <v>249</v>
      </c>
      <c r="C21" s="398" t="s">
        <v>41</v>
      </c>
      <c r="D21" s="11" t="s">
        <v>3</v>
      </c>
      <c r="E21" s="31"/>
    </row>
    <row r="22" spans="1:7" ht="14.75" customHeight="1" x14ac:dyDescent="0.2">
      <c r="A22" s="392"/>
      <c r="B22" s="375"/>
      <c r="C22" s="399"/>
      <c r="D22" s="11" t="s">
        <v>40</v>
      </c>
      <c r="E22" s="21">
        <f>MIN(E21/2,8)</f>
        <v>0</v>
      </c>
    </row>
    <row r="23" spans="1:7" ht="30.5" customHeight="1" x14ac:dyDescent="0.2">
      <c r="A23" s="392"/>
      <c r="B23" s="375"/>
      <c r="C23" s="374"/>
      <c r="D23" s="9"/>
      <c r="E23" s="20"/>
    </row>
    <row r="24" spans="1:7" x14ac:dyDescent="0.2">
      <c r="A24" s="392" t="s">
        <v>11</v>
      </c>
      <c r="B24" s="375" t="s">
        <v>265</v>
      </c>
      <c r="C24" s="375" t="s">
        <v>245</v>
      </c>
      <c r="D24" s="11" t="s">
        <v>42</v>
      </c>
      <c r="E24" s="30" t="s">
        <v>50</v>
      </c>
    </row>
    <row r="25" spans="1:7" x14ac:dyDescent="0.2">
      <c r="A25" s="392"/>
      <c r="B25" s="375"/>
      <c r="C25" s="375"/>
      <c r="D25" s="11" t="s">
        <v>43</v>
      </c>
      <c r="E25" s="22" t="str">
        <f>VLOOKUP(E24,'Reference Values'!I23:J25, 2, FALSE)</f>
        <v>Enter above</v>
      </c>
    </row>
    <row r="26" spans="1:7" ht="56" customHeight="1" x14ac:dyDescent="0.2">
      <c r="A26" s="392"/>
      <c r="B26" s="375"/>
      <c r="C26" s="375"/>
      <c r="D26" s="9"/>
      <c r="E26" s="37" t="str">
        <f>IF(E24="choose","You Must Enter More Data Above"," ")</f>
        <v>You Must Enter More Data Above</v>
      </c>
    </row>
    <row r="27" spans="1:7" x14ac:dyDescent="0.2">
      <c r="A27" s="397" t="s">
        <v>64</v>
      </c>
      <c r="B27" s="377" t="s">
        <v>266</v>
      </c>
      <c r="C27" s="377" t="s">
        <v>267</v>
      </c>
      <c r="D27" s="11" t="s">
        <v>44</v>
      </c>
      <c r="E27" s="32"/>
    </row>
    <row r="28" spans="1:7" ht="43.25" customHeight="1" x14ac:dyDescent="0.2">
      <c r="A28" s="397"/>
      <c r="B28" s="377"/>
      <c r="C28" s="377"/>
      <c r="D28" s="9"/>
      <c r="E28" s="20"/>
    </row>
    <row r="29" spans="1:7" x14ac:dyDescent="0.2">
      <c r="A29" s="392" t="s">
        <v>18</v>
      </c>
      <c r="B29" s="377" t="s">
        <v>268</v>
      </c>
      <c r="C29" s="393" t="s">
        <v>45</v>
      </c>
      <c r="D29" s="11" t="s">
        <v>12</v>
      </c>
      <c r="E29" s="21" t="e">
        <f>E19+E22+E25+E27</f>
        <v>#VALUE!</v>
      </c>
    </row>
    <row r="30" spans="1:7" ht="43.25" customHeight="1" x14ac:dyDescent="0.2">
      <c r="A30" s="392"/>
      <c r="B30" s="377"/>
      <c r="C30" s="377"/>
      <c r="D30" s="9"/>
      <c r="E30" s="37" t="str">
        <f>IF(ISERROR(E29),"You Must Enter More Data Above"," ")</f>
        <v>You Must Enter More Data Above</v>
      </c>
    </row>
    <row r="31" spans="1:7" x14ac:dyDescent="0.2">
      <c r="A31" s="394" t="s">
        <v>46</v>
      </c>
      <c r="B31" s="380" t="s">
        <v>14</v>
      </c>
      <c r="C31" s="396" t="s">
        <v>269</v>
      </c>
      <c r="D31" s="18" t="s">
        <v>20</v>
      </c>
      <c r="E31" s="34" t="e">
        <f>VLOOKUP(E29,'Reference Values'!L5:N205,3,TRUE)</f>
        <v>#VALUE!</v>
      </c>
      <c r="F31" s="19"/>
    </row>
    <row r="32" spans="1:7" ht="59" customHeight="1" thickBot="1" x14ac:dyDescent="0.25">
      <c r="A32" s="355"/>
      <c r="B32" s="395"/>
      <c r="C32" s="395"/>
      <c r="D32" s="14"/>
      <c r="E32" s="38" t="str">
        <f>IF(ISERROR(SUM(E19+E22+E25+E27)),"You Must Enter More Data Above"," ")</f>
        <v>You Must Enter More Data Above</v>
      </c>
    </row>
    <row r="33" spans="1:6" ht="24" customHeight="1" thickBot="1" x14ac:dyDescent="0.25">
      <c r="A33" s="23"/>
      <c r="B33" s="24"/>
      <c r="C33" s="25"/>
      <c r="D33" s="25"/>
      <c r="E33" s="26"/>
    </row>
    <row r="34" spans="1:6" ht="29.75" customHeight="1" thickBot="1" x14ac:dyDescent="0.25">
      <c r="A34" s="107" t="s">
        <v>13</v>
      </c>
      <c r="B34" s="366" t="s">
        <v>25</v>
      </c>
      <c r="C34" s="367"/>
      <c r="D34" s="108"/>
      <c r="E34" s="109"/>
    </row>
    <row r="35" spans="1:6" ht="15.5" customHeight="1" x14ac:dyDescent="0.2">
      <c r="A35" s="368" t="s">
        <v>38</v>
      </c>
      <c r="B35" s="369"/>
      <c r="C35" s="110" t="s">
        <v>30</v>
      </c>
      <c r="D35" s="111" t="s">
        <v>10</v>
      </c>
      <c r="E35" s="112" t="e">
        <f>E15</f>
        <v>#VALUE!</v>
      </c>
    </row>
    <row r="36" spans="1:6" ht="15.5" customHeight="1" x14ac:dyDescent="0.2">
      <c r="A36" s="370" t="s">
        <v>47</v>
      </c>
      <c r="B36" s="371"/>
      <c r="C36" s="94" t="s">
        <v>31</v>
      </c>
      <c r="D36" s="95" t="s">
        <v>15</v>
      </c>
      <c r="E36" s="113" t="e">
        <f>E31</f>
        <v>#VALUE!</v>
      </c>
    </row>
    <row r="37" spans="1:6" ht="15.5" customHeight="1" x14ac:dyDescent="0.2">
      <c r="A37" s="387" t="s">
        <v>96</v>
      </c>
      <c r="B37" s="389" t="s">
        <v>97</v>
      </c>
      <c r="C37" s="389" t="s">
        <v>106</v>
      </c>
      <c r="D37" s="96" t="s">
        <v>73</v>
      </c>
      <c r="E37" s="124" t="s">
        <v>50</v>
      </c>
    </row>
    <row r="38" spans="1:6" ht="30.5" customHeight="1" x14ac:dyDescent="0.2">
      <c r="A38" s="388"/>
      <c r="B38" s="390"/>
      <c r="C38" s="391"/>
      <c r="D38" s="106"/>
      <c r="E38" s="121" t="str">
        <f>IF(E37="choose","You Must Enter More Data Above"," ")</f>
        <v>You Must Enter More Data Above</v>
      </c>
    </row>
    <row r="39" spans="1:6" x14ac:dyDescent="0.2">
      <c r="A39" s="372" t="s">
        <v>35</v>
      </c>
      <c r="B39" s="374" t="s">
        <v>34</v>
      </c>
      <c r="C39" s="376" t="s">
        <v>98</v>
      </c>
      <c r="D39" s="18" t="s">
        <v>74</v>
      </c>
      <c r="E39" s="114" t="e">
        <f>SUM(E15+E31)*VLOOKUP(E37,'Reference Values'!P5:Q20, 2, FALSE)</f>
        <v>#VALUE!</v>
      </c>
    </row>
    <row r="40" spans="1:6" ht="23" customHeight="1" x14ac:dyDescent="0.2">
      <c r="A40" s="373"/>
      <c r="B40" s="375"/>
      <c r="C40" s="375"/>
      <c r="D40" s="9"/>
      <c r="E40" s="120" t="str">
        <f>IF(ISNUMBER(E35+E36)," ","You Must Enter More Data")</f>
        <v>You Must Enter More Data</v>
      </c>
    </row>
    <row r="41" spans="1:6" ht="14.75" customHeight="1" x14ac:dyDescent="0.2">
      <c r="A41" s="373" t="s">
        <v>16</v>
      </c>
      <c r="B41" s="377" t="s">
        <v>17</v>
      </c>
      <c r="C41" s="378" t="s">
        <v>270</v>
      </c>
      <c r="D41" s="11" t="s">
        <v>99</v>
      </c>
      <c r="E41" s="115" t="s">
        <v>50</v>
      </c>
    </row>
    <row r="42" spans="1:6" ht="14.75" customHeight="1" x14ac:dyDescent="0.2">
      <c r="A42" s="373"/>
      <c r="B42" s="377"/>
      <c r="C42" s="379"/>
      <c r="D42" s="11" t="s">
        <v>100</v>
      </c>
      <c r="E42" s="116" t="str">
        <f>VLOOKUP(E41,'Reference Values'!I30:J32, 2, FALSE)</f>
        <v>Enter above</v>
      </c>
    </row>
    <row r="43" spans="1:6" ht="24" customHeight="1" x14ac:dyDescent="0.2">
      <c r="A43" s="373"/>
      <c r="B43" s="377"/>
      <c r="C43" s="380"/>
      <c r="D43" s="9"/>
      <c r="E43" s="120" t="str">
        <f>IF(ISERROR(SUM(E39+E42)),"You Must Enter More Data"," ")</f>
        <v>You Must Enter More Data</v>
      </c>
    </row>
    <row r="44" spans="1:6" ht="24" customHeight="1" x14ac:dyDescent="0.2">
      <c r="A44" s="381" t="s">
        <v>24</v>
      </c>
      <c r="B44" s="383" t="s">
        <v>271</v>
      </c>
      <c r="C44" s="384"/>
      <c r="D44" s="58" t="s">
        <v>22</v>
      </c>
      <c r="E44" s="117" t="e">
        <f>E45-VLOOKUP(E37,'Reference Values'!P5:Q20, 2, FALSE)*4000</f>
        <v>#VALUE!</v>
      </c>
    </row>
    <row r="45" spans="1:6" ht="24" customHeight="1" x14ac:dyDescent="0.2">
      <c r="A45" s="381"/>
      <c r="B45" s="383"/>
      <c r="C45" s="384"/>
      <c r="D45" s="59" t="s">
        <v>21</v>
      </c>
      <c r="E45" s="117" t="e">
        <f>E39+E42</f>
        <v>#VALUE!</v>
      </c>
      <c r="F45" s="19"/>
    </row>
    <row r="46" spans="1:6" ht="24" customHeight="1" thickBot="1" x14ac:dyDescent="0.25">
      <c r="A46" s="382"/>
      <c r="B46" s="385"/>
      <c r="C46" s="386"/>
      <c r="D46" s="118" t="s">
        <v>23</v>
      </c>
      <c r="E46" s="119" t="e">
        <f>E45+VLOOKUP(E37,'Reference Values'!P5:Q20, 2, FALSE)*4000</f>
        <v>#VALUE!</v>
      </c>
    </row>
    <row r="47" spans="1:6" ht="24" customHeight="1" thickBot="1" x14ac:dyDescent="0.25">
      <c r="A47" s="23"/>
      <c r="B47" s="24"/>
      <c r="C47" s="25"/>
      <c r="D47" s="25"/>
      <c r="E47" s="26"/>
    </row>
    <row r="48" spans="1:6" ht="29.75" customHeight="1" thickBot="1" x14ac:dyDescent="0.25">
      <c r="A48" s="27" t="s">
        <v>26</v>
      </c>
      <c r="B48" s="322" t="s">
        <v>27</v>
      </c>
      <c r="C48" s="365"/>
      <c r="D48" s="28"/>
      <c r="E48" s="29"/>
    </row>
    <row r="49" spans="1:7" ht="14.75" customHeight="1" x14ac:dyDescent="0.2">
      <c r="A49" s="348" t="s">
        <v>28</v>
      </c>
      <c r="B49" s="350" t="s">
        <v>272</v>
      </c>
      <c r="C49" s="350" t="s">
        <v>273</v>
      </c>
      <c r="D49" s="57" t="s">
        <v>101</v>
      </c>
      <c r="E49" s="33"/>
    </row>
    <row r="50" spans="1:7" ht="114.5" customHeight="1" thickBot="1" x14ac:dyDescent="0.25">
      <c r="A50" s="349"/>
      <c r="B50" s="351"/>
      <c r="C50" s="351"/>
      <c r="D50" s="40"/>
      <c r="E50" s="39" t="str">
        <f>IF(E49=0,"You must enter a Negotiated Compensation in BOX Q above."," ")</f>
        <v>You must enter a Negotiated Compensation in BOX Q above.</v>
      </c>
    </row>
    <row r="51" spans="1:7" ht="50.5" customHeight="1" x14ac:dyDescent="0.2">
      <c r="A51" s="352" t="s">
        <v>257</v>
      </c>
      <c r="B51" s="353"/>
      <c r="C51" s="353"/>
      <c r="D51" s="353"/>
      <c r="E51" s="353"/>
      <c r="F51" s="308"/>
    </row>
    <row r="52" spans="1:7" ht="15" customHeight="1" thickBot="1" x14ac:dyDescent="0.25">
      <c r="A52" s="311"/>
      <c r="B52" s="312"/>
      <c r="C52" s="312"/>
      <c r="D52" s="312"/>
      <c r="E52" s="312"/>
      <c r="F52" s="308"/>
    </row>
    <row r="53" spans="1:7" ht="29.75" customHeight="1" thickBot="1" x14ac:dyDescent="0.25">
      <c r="A53" s="27" t="s">
        <v>59</v>
      </c>
      <c r="B53" s="322" t="s">
        <v>256</v>
      </c>
      <c r="C53" s="323"/>
      <c r="D53" s="323"/>
      <c r="E53" s="324"/>
      <c r="F53" s="308"/>
    </row>
    <row r="54" spans="1:7" x14ac:dyDescent="0.2">
      <c r="A54" s="354" t="s">
        <v>29</v>
      </c>
      <c r="B54" s="356" t="s">
        <v>112</v>
      </c>
      <c r="C54" s="356" t="s">
        <v>111</v>
      </c>
      <c r="D54" s="8" t="s">
        <v>48</v>
      </c>
      <c r="E54" s="41" t="str">
        <f>IF($D$9='Reference Values'!I11,E56-E49,"(Clergy Only)")</f>
        <v>(Clergy Only)</v>
      </c>
      <c r="G54" s="126"/>
    </row>
    <row r="55" spans="1:7" ht="49.25" customHeight="1" thickBot="1" x14ac:dyDescent="0.25">
      <c r="A55" s="355"/>
      <c r="B55" s="357"/>
      <c r="C55" s="357"/>
      <c r="D55" s="14"/>
      <c r="E55" s="37" t="str">
        <f>IF(ISNUMBER((E49-E42)*0.0765)," ","You must enter a Negotiated Compensation in BOX Q above.")</f>
        <v>You must enter a Negotiated Compensation in BOX Q above.</v>
      </c>
    </row>
    <row r="56" spans="1:7" x14ac:dyDescent="0.2">
      <c r="A56" s="348" t="s">
        <v>4</v>
      </c>
      <c r="B56" s="358" t="s">
        <v>274</v>
      </c>
      <c r="C56" s="360" t="s">
        <v>113</v>
      </c>
      <c r="D56" s="54" t="s">
        <v>102</v>
      </c>
      <c r="E56" s="63" t="str">
        <f>IF($D$9='Reference Values'!I11,(((E49-E42)/0.9235)+E42),"(Clergy Only)")</f>
        <v>(Clergy Only)</v>
      </c>
      <c r="F56" s="5"/>
    </row>
    <row r="57" spans="1:7" ht="27.5" customHeight="1" thickBot="1" x14ac:dyDescent="0.25">
      <c r="A57" s="349"/>
      <c r="B57" s="359"/>
      <c r="C57" s="359"/>
      <c r="D57" s="55"/>
      <c r="E57" s="56" t="str">
        <f>IF(ISERROR(SUM(E49+E54)),"You must enter more data."," ")</f>
        <v>You must enter more data.</v>
      </c>
    </row>
    <row r="58" spans="1:7" ht="12" customHeight="1" x14ac:dyDescent="0.2"/>
    <row r="59" spans="1:7" ht="19" x14ac:dyDescent="0.25">
      <c r="A59" s="347" t="s">
        <v>57</v>
      </c>
      <c r="B59" s="347"/>
      <c r="C59" s="64"/>
      <c r="D59" s="71" t="s">
        <v>58</v>
      </c>
      <c r="E59" s="69"/>
    </row>
    <row r="60" spans="1:7" ht="24" customHeight="1" x14ac:dyDescent="0.25">
      <c r="A60" s="347" t="s">
        <v>250</v>
      </c>
      <c r="B60" s="347"/>
      <c r="C60" s="65"/>
      <c r="D60" s="71" t="s">
        <v>58</v>
      </c>
      <c r="E60" s="69"/>
    </row>
    <row r="61" spans="1:7" ht="14.5" customHeight="1" thickBot="1" x14ac:dyDescent="0.25">
      <c r="F61" s="313"/>
    </row>
    <row r="62" spans="1:7" ht="29.75" customHeight="1" thickBot="1" x14ac:dyDescent="0.25">
      <c r="A62" s="27" t="s">
        <v>255</v>
      </c>
      <c r="B62" s="322" t="s">
        <v>254</v>
      </c>
      <c r="C62" s="323"/>
      <c r="D62" s="323"/>
      <c r="E62" s="324"/>
      <c r="F62" s="308"/>
    </row>
    <row r="63" spans="1:7" ht="14.75" customHeight="1" x14ac:dyDescent="0.2">
      <c r="A63" s="325" t="s">
        <v>135</v>
      </c>
      <c r="B63" s="326"/>
      <c r="C63" s="363" t="s">
        <v>275</v>
      </c>
      <c r="D63" s="364"/>
      <c r="E63" s="167">
        <f>IF($D$9='Reference Values'!I11,E56,E49)</f>
        <v>0</v>
      </c>
      <c r="F63" s="19"/>
      <c r="G63" s="19"/>
    </row>
    <row r="64" spans="1:7" ht="14.75" customHeight="1" x14ac:dyDescent="0.2">
      <c r="A64" s="327" t="s">
        <v>60</v>
      </c>
      <c r="B64" s="328"/>
      <c r="C64" s="329" t="s">
        <v>276</v>
      </c>
      <c r="D64" s="330"/>
      <c r="E64" s="168"/>
      <c r="F64" s="19"/>
      <c r="G64" s="19"/>
    </row>
    <row r="65" spans="1:7" ht="14.75" customHeight="1" thickBot="1" x14ac:dyDescent="0.25">
      <c r="A65" s="331" t="s">
        <v>61</v>
      </c>
      <c r="B65" s="332"/>
      <c r="C65" s="333" t="s">
        <v>62</v>
      </c>
      <c r="D65" s="334"/>
      <c r="E65" s="169">
        <f>SUM(E63-E64)</f>
        <v>0</v>
      </c>
      <c r="F65" s="19"/>
      <c r="G65" s="19"/>
    </row>
    <row r="66" spans="1:7" ht="9" customHeight="1" thickBot="1" x14ac:dyDescent="0.25">
      <c r="A66" s="66"/>
      <c r="B66" s="66"/>
      <c r="C66" s="67"/>
      <c r="D66" s="67"/>
      <c r="E66" s="68"/>
      <c r="F66" s="19"/>
    </row>
    <row r="67" spans="1:7" ht="15" customHeight="1" thickBot="1" x14ac:dyDescent="0.25">
      <c r="A67" s="335" t="s">
        <v>63</v>
      </c>
      <c r="B67" s="336"/>
      <c r="C67" s="336"/>
      <c r="D67" s="336"/>
      <c r="E67" s="337"/>
      <c r="G67" s="19"/>
    </row>
    <row r="68" spans="1:7" ht="16" x14ac:dyDescent="0.2">
      <c r="A68" s="338" t="s">
        <v>65</v>
      </c>
      <c r="B68" s="339"/>
      <c r="C68" s="178" t="s">
        <v>228</v>
      </c>
      <c r="D68" s="50" t="s">
        <v>66</v>
      </c>
      <c r="E68" s="125" t="s">
        <v>229</v>
      </c>
    </row>
    <row r="69" spans="1:7" ht="16" x14ac:dyDescent="0.2">
      <c r="A69" s="340" t="s">
        <v>277</v>
      </c>
      <c r="B69" s="341"/>
      <c r="C69" s="314" t="s">
        <v>278</v>
      </c>
      <c r="D69" s="342" t="s">
        <v>67</v>
      </c>
      <c r="E69" s="343"/>
    </row>
    <row r="70" spans="1:7" ht="16" x14ac:dyDescent="0.2">
      <c r="A70" s="344" t="s">
        <v>68</v>
      </c>
      <c r="B70" s="345"/>
      <c r="C70" s="345"/>
      <c r="D70" s="345"/>
      <c r="E70" s="346"/>
    </row>
    <row r="71" spans="1:7" ht="16" x14ac:dyDescent="0.2">
      <c r="A71" s="315" t="s">
        <v>279</v>
      </c>
      <c r="B71" s="60" t="str">
        <f>C69</f>
        <v>[Enter Minister's Name Here]</v>
      </c>
      <c r="C71" s="62" t="str">
        <f>"for the calendar year "&amp;'Reference Values'!$J$4&amp;" will receive"</f>
        <v>for the calendar year 2024 will receive</v>
      </c>
      <c r="D71" s="51"/>
      <c r="E71" s="52"/>
    </row>
    <row r="72" spans="1:7" ht="16" x14ac:dyDescent="0.2">
      <c r="A72" s="315" t="s">
        <v>280</v>
      </c>
      <c r="B72" s="61">
        <f>E65</f>
        <v>0</v>
      </c>
      <c r="C72" s="62" t="s">
        <v>72</v>
      </c>
      <c r="D72" s="61">
        <f>E64</f>
        <v>0</v>
      </c>
      <c r="E72" s="52"/>
    </row>
    <row r="73" spans="1:7" ht="26.75" customHeight="1" thickBot="1" x14ac:dyDescent="0.25">
      <c r="A73" s="320" t="s">
        <v>71</v>
      </c>
      <c r="B73" s="321"/>
      <c r="C73" s="53" t="s">
        <v>69</v>
      </c>
      <c r="D73" s="70" t="s">
        <v>70</v>
      </c>
      <c r="E73" s="49"/>
    </row>
    <row r="74" spans="1:7" ht="30.5" customHeight="1" x14ac:dyDescent="0.2">
      <c r="A74" s="361" t="s">
        <v>258</v>
      </c>
      <c r="B74" s="362"/>
      <c r="C74" s="362"/>
      <c r="D74" s="362"/>
      <c r="E74" s="362"/>
      <c r="F74" s="308"/>
    </row>
    <row r="75" spans="1:7" ht="21" customHeight="1" x14ac:dyDescent="0.2">
      <c r="A75" s="46"/>
      <c r="B75" s="46"/>
      <c r="C75" s="46"/>
      <c r="D75" s="47"/>
      <c r="E75" s="48"/>
    </row>
    <row r="76" spans="1:7" ht="16" x14ac:dyDescent="0.2">
      <c r="A76" s="403" t="s">
        <v>105</v>
      </c>
      <c r="B76" s="403"/>
      <c r="C76" s="403"/>
      <c r="D76" s="403"/>
      <c r="E76" s="403"/>
    </row>
    <row r="77" spans="1:7" ht="8" customHeight="1" x14ac:dyDescent="0.2">
      <c r="A77" s="46"/>
      <c r="B77" s="46"/>
      <c r="C77" s="46"/>
      <c r="D77" s="47"/>
      <c r="E77" s="48"/>
    </row>
    <row r="78" spans="1:7" ht="16" x14ac:dyDescent="0.2">
      <c r="A78" s="403" t="s">
        <v>104</v>
      </c>
      <c r="B78" s="403"/>
      <c r="C78" s="403"/>
      <c r="D78" s="403"/>
      <c r="E78" s="403"/>
    </row>
    <row r="80" spans="1:7" ht="16" x14ac:dyDescent="0.2">
      <c r="B80" s="307"/>
    </row>
    <row r="82" spans="3:3" ht="16" x14ac:dyDescent="0.2">
      <c r="C82" s="309"/>
    </row>
    <row r="83" spans="3:3" ht="16" x14ac:dyDescent="0.2">
      <c r="C83" s="307"/>
    </row>
    <row r="84" spans="3:3" ht="16" x14ac:dyDescent="0.2">
      <c r="C84" s="307"/>
    </row>
  </sheetData>
  <sheetProtection sheet="1" objects="1" scenarios="1"/>
  <mergeCells count="78">
    <mergeCell ref="A4:E4"/>
    <mergeCell ref="A1:E1"/>
    <mergeCell ref="A76:E76"/>
    <mergeCell ref="A78:E78"/>
    <mergeCell ref="A3:E3"/>
    <mergeCell ref="A6:E6"/>
    <mergeCell ref="B8:C8"/>
    <mergeCell ref="A10:A11"/>
    <mergeCell ref="B10:B11"/>
    <mergeCell ref="C10:C11"/>
    <mergeCell ref="A12:A14"/>
    <mergeCell ref="B12:B14"/>
    <mergeCell ref="C12:C14"/>
    <mergeCell ref="A15:A16"/>
    <mergeCell ref="B15:B16"/>
    <mergeCell ref="C15:C16"/>
    <mergeCell ref="B18:C18"/>
    <mergeCell ref="A19:A20"/>
    <mergeCell ref="B19:B20"/>
    <mergeCell ref="C19:C20"/>
    <mergeCell ref="A21:A23"/>
    <mergeCell ref="B21:B23"/>
    <mergeCell ref="C21:C23"/>
    <mergeCell ref="A24:A26"/>
    <mergeCell ref="B24:B26"/>
    <mergeCell ref="C24:C26"/>
    <mergeCell ref="A27:A28"/>
    <mergeCell ref="B27:B28"/>
    <mergeCell ref="C27:C28"/>
    <mergeCell ref="A29:A30"/>
    <mergeCell ref="B29:B30"/>
    <mergeCell ref="C29:C30"/>
    <mergeCell ref="A31:A32"/>
    <mergeCell ref="B31:B32"/>
    <mergeCell ref="C31:C32"/>
    <mergeCell ref="B48:C48"/>
    <mergeCell ref="B34:C34"/>
    <mergeCell ref="A35:B35"/>
    <mergeCell ref="A36:B36"/>
    <mergeCell ref="A39:A40"/>
    <mergeCell ref="B39:B40"/>
    <mergeCell ref="C39:C40"/>
    <mergeCell ref="A41:A43"/>
    <mergeCell ref="B41:B43"/>
    <mergeCell ref="C41:C43"/>
    <mergeCell ref="A44:A46"/>
    <mergeCell ref="B44:C46"/>
    <mergeCell ref="A37:A38"/>
    <mergeCell ref="B37:B38"/>
    <mergeCell ref="C37:C38"/>
    <mergeCell ref="A56:A57"/>
    <mergeCell ref="B56:B57"/>
    <mergeCell ref="C56:C57"/>
    <mergeCell ref="A74:E74"/>
    <mergeCell ref="A59:B59"/>
    <mergeCell ref="C63:D63"/>
    <mergeCell ref="C49:C50"/>
    <mergeCell ref="A51:E51"/>
    <mergeCell ref="A54:A55"/>
    <mergeCell ref="B54:B55"/>
    <mergeCell ref="C54:C55"/>
    <mergeCell ref="B53:E53"/>
    <mergeCell ref="D9:E9"/>
    <mergeCell ref="A73:B73"/>
    <mergeCell ref="B62:E62"/>
    <mergeCell ref="A63:B63"/>
    <mergeCell ref="A64:B64"/>
    <mergeCell ref="C64:D64"/>
    <mergeCell ref="A65:B65"/>
    <mergeCell ref="C65:D65"/>
    <mergeCell ref="A67:E67"/>
    <mergeCell ref="A68:B68"/>
    <mergeCell ref="A69:B69"/>
    <mergeCell ref="D69:E69"/>
    <mergeCell ref="A70:E70"/>
    <mergeCell ref="A60:B60"/>
    <mergeCell ref="A49:A50"/>
    <mergeCell ref="B49:B50"/>
  </mergeCells>
  <hyperlinks>
    <hyperlink ref="A4:E4" r:id="rId1" display="Video Tutorial - Watch a tutorial for filling out this worksheet on the Synod website." xr:uid="{00000000-0004-0000-0000-000000000000}"/>
    <hyperlink ref="A3:E3" r:id="rId2" display="Written Guidelines - View the written Compensation Guidelines on the Synod website." xr:uid="{00000000-0004-0000-0000-000001000000}"/>
  </hyperlinks>
  <printOptions horizontalCentered="1"/>
  <pageMargins left="0.7" right="0.7" top="0.42" bottom="0.37" header="0.3" footer="0.3"/>
  <pageSetup scale="77" fitToHeight="0" orientation="portrait" r:id="rId3"/>
  <rowBreaks count="1" manualBreakCount="1">
    <brk id="33" max="4" man="1"/>
  </rowBreaks>
  <colBreaks count="2" manualBreakCount="2">
    <brk id="1" max="28" man="1"/>
    <brk id="1" min="33" max="71" man="1"/>
  </col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'Reference Values'!$P$5:$P$20</xm:f>
          </x14:formula1>
          <xm:sqref>E37</xm:sqref>
        </x14:dataValidation>
        <x14:dataValidation type="list" errorStyle="warning" allowBlank="1" showInputMessage="1" showErrorMessage="1" errorTitle="Select yes/no" xr:uid="{00000000-0002-0000-0000-000001000000}">
          <x14:formula1>
            <xm:f>'Reference Values'!$I$23:$I$25</xm:f>
          </x14:formula1>
          <xm:sqref>E24 E41</xm:sqref>
        </x14:dataValidation>
        <x14:dataValidation type="list" errorStyle="warning" showInputMessage="1" showErrorMessage="1" errorTitle="Invalid Entry!" error="Please select an option from the list." xr:uid="{00000000-0002-0000-0000-000002000000}">
          <x14:formula1>
            <xm:f>'Reference Values'!$I$16:$I$19</xm:f>
          </x14:formula1>
          <xm:sqref>E12</xm:sqref>
        </x14:dataValidation>
        <x14:dataValidation type="list" allowBlank="1" showInputMessage="1" showErrorMessage="1" xr:uid="{00000000-0002-0000-0000-000003000000}">
          <x14:formula1>
            <xm:f>'Reference Values'!$I$10:$I$13</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7"/>
  <sheetViews>
    <sheetView showGridLines="0" zoomScale="95" zoomScaleNormal="95" workbookViewId="0">
      <selection activeCell="A2" sqref="A2"/>
    </sheetView>
  </sheetViews>
  <sheetFormatPr baseColWidth="10" defaultColWidth="8.83203125" defaultRowHeight="15" x14ac:dyDescent="0.2"/>
  <cols>
    <col min="1" max="1" width="70.1640625" customWidth="1"/>
    <col min="2" max="2" width="12.5" customWidth="1"/>
    <col min="3" max="3" width="14.5" customWidth="1"/>
    <col min="4" max="5" width="3" customWidth="1"/>
    <col min="6" max="6" width="7.1640625" customWidth="1"/>
    <col min="8" max="8" width="11.33203125" customWidth="1"/>
    <col min="9" max="9" width="17.83203125" customWidth="1"/>
    <col min="10" max="12" width="7.83203125" customWidth="1"/>
    <col min="13" max="13" width="3.83203125" customWidth="1"/>
    <col min="14" max="14" width="4.5" customWidth="1"/>
    <col min="15" max="15" width="15" customWidth="1"/>
    <col min="16" max="16" width="12.33203125" customWidth="1"/>
    <col min="17" max="17" width="3" customWidth="1"/>
  </cols>
  <sheetData>
    <row r="1" spans="1:17" ht="31.25" customHeight="1" x14ac:dyDescent="0.2">
      <c r="A1" s="408" t="s">
        <v>281</v>
      </c>
      <c r="B1" s="408"/>
      <c r="C1" s="408"/>
      <c r="D1" s="408"/>
      <c r="E1" s="408"/>
      <c r="F1" s="408"/>
      <c r="G1" s="408"/>
      <c r="H1" s="408"/>
      <c r="I1" s="408"/>
      <c r="J1" s="408"/>
      <c r="K1" s="408"/>
      <c r="L1" s="408"/>
      <c r="M1" s="408"/>
      <c r="N1" s="408"/>
      <c r="O1" s="408"/>
      <c r="P1" s="408"/>
      <c r="Q1" s="408"/>
    </row>
    <row r="3" spans="1:17" ht="24" x14ac:dyDescent="0.3">
      <c r="A3" s="409" t="s">
        <v>133</v>
      </c>
      <c r="B3" s="409"/>
      <c r="C3" s="409"/>
      <c r="D3" s="179"/>
      <c r="E3" s="179"/>
      <c r="F3" s="409" t="s">
        <v>134</v>
      </c>
      <c r="G3" s="409"/>
      <c r="H3" s="409"/>
      <c r="I3" s="409"/>
      <c r="J3" s="409"/>
      <c r="K3" s="409"/>
      <c r="L3" s="409"/>
      <c r="M3" s="409"/>
      <c r="N3" s="409"/>
      <c r="O3" s="409"/>
      <c r="P3" s="409"/>
    </row>
    <row r="4" spans="1:17" ht="17" thickBot="1" x14ac:dyDescent="0.25">
      <c r="D4" s="180"/>
      <c r="E4" s="180"/>
      <c r="F4" s="410" t="s">
        <v>236</v>
      </c>
      <c r="G4" s="410"/>
      <c r="H4" s="410"/>
      <c r="I4" s="410"/>
      <c r="J4" s="410"/>
      <c r="K4" s="410"/>
      <c r="L4" s="410"/>
      <c r="M4" s="410"/>
      <c r="N4" s="410"/>
      <c r="O4" s="410"/>
      <c r="P4" s="410"/>
    </row>
    <row r="5" spans="1:17" ht="20" thickBot="1" x14ac:dyDescent="0.25">
      <c r="A5" s="181" t="s">
        <v>211</v>
      </c>
      <c r="B5" s="417" t="s">
        <v>50</v>
      </c>
      <c r="C5" s="417"/>
      <c r="D5" s="179"/>
      <c r="E5" s="179"/>
    </row>
    <row r="6" spans="1:17" ht="17" thickBot="1" x14ac:dyDescent="0.25">
      <c r="D6" s="179"/>
      <c r="E6" s="179"/>
      <c r="F6" s="411"/>
      <c r="G6" s="412"/>
      <c r="H6" s="413" t="s">
        <v>138</v>
      </c>
      <c r="I6" s="413"/>
      <c r="J6" s="414" t="s">
        <v>139</v>
      </c>
      <c r="K6" s="413"/>
      <c r="L6" s="415"/>
      <c r="M6" s="413" t="s">
        <v>140</v>
      </c>
      <c r="N6" s="413"/>
      <c r="O6" s="413"/>
      <c r="P6" s="416"/>
    </row>
    <row r="7" spans="1:17" ht="17" thickBot="1" x14ac:dyDescent="0.25">
      <c r="A7" s="182" t="s">
        <v>135</v>
      </c>
      <c r="B7" s="183" t="s">
        <v>136</v>
      </c>
      <c r="C7" s="184" t="s">
        <v>137</v>
      </c>
      <c r="D7" s="179"/>
      <c r="E7" s="179"/>
      <c r="F7" s="185"/>
      <c r="G7" s="186"/>
      <c r="H7" s="418" t="s">
        <v>141</v>
      </c>
      <c r="I7" s="419"/>
      <c r="J7" s="420">
        <f>B10-B13+B18+B19+B20+B21+B22</f>
        <v>0</v>
      </c>
      <c r="K7" s="421"/>
      <c r="L7" s="422"/>
      <c r="M7" s="423" t="s">
        <v>142</v>
      </c>
      <c r="N7" s="423"/>
      <c r="O7" s="423"/>
      <c r="P7" s="424"/>
    </row>
    <row r="8" spans="1:17" ht="16" x14ac:dyDescent="0.2">
      <c r="A8" s="187" t="s">
        <v>215</v>
      </c>
      <c r="B8" s="188">
        <f>'Ministry Leader'!E49</f>
        <v>0</v>
      </c>
      <c r="C8" s="276" t="e">
        <f>B8/VLOOKUP(B5,'Reference Values'!I41:J44, 2, FALSE)</f>
        <v>#DIV/0!</v>
      </c>
      <c r="D8" s="179"/>
      <c r="E8" s="179"/>
      <c r="F8" s="425" t="s">
        <v>143</v>
      </c>
      <c r="G8" s="426"/>
      <c r="H8" s="426"/>
      <c r="I8" s="427"/>
      <c r="J8" s="428" t="s">
        <v>144</v>
      </c>
      <c r="K8" s="429"/>
      <c r="L8" s="430"/>
      <c r="M8" s="431" t="s">
        <v>145</v>
      </c>
      <c r="N8" s="426"/>
      <c r="O8" s="426"/>
      <c r="P8" s="432"/>
    </row>
    <row r="9" spans="1:17" ht="17" thickBot="1" x14ac:dyDescent="0.25">
      <c r="A9" s="189" t="s">
        <v>216</v>
      </c>
      <c r="B9" s="190">
        <f>IF(ISNUMBER('Ministry Leader'!E54),'Ministry Leader'!E54,0)</f>
        <v>0</v>
      </c>
      <c r="C9" s="277" t="e">
        <f>B9/VLOOKUP(B5,'Reference Values'!I41:J44, 2, FALSE)</f>
        <v>#DIV/0!</v>
      </c>
      <c r="D9" s="179"/>
      <c r="E9" s="179"/>
      <c r="F9" s="433" t="s">
        <v>253</v>
      </c>
      <c r="G9" s="419"/>
      <c r="H9" s="419"/>
      <c r="I9" s="434"/>
      <c r="J9" s="435" t="s">
        <v>142</v>
      </c>
      <c r="K9" s="423"/>
      <c r="L9" s="436"/>
      <c r="M9" s="435" t="s">
        <v>142</v>
      </c>
      <c r="N9" s="423"/>
      <c r="O9" s="423"/>
      <c r="P9" s="424"/>
    </row>
    <row r="10" spans="1:17" ht="18" thickTop="1" thickBot="1" x14ac:dyDescent="0.25">
      <c r="A10" s="191" t="s">
        <v>217</v>
      </c>
      <c r="B10" s="192">
        <f>IF(ISNUMBER('Ministry Leader'!E56),'Ministry Leader'!E56,0)</f>
        <v>0</v>
      </c>
      <c r="C10" s="193"/>
      <c r="D10" s="179"/>
      <c r="E10" s="179"/>
      <c r="F10" s="425" t="s">
        <v>146</v>
      </c>
      <c r="G10" s="426"/>
      <c r="H10" s="426"/>
      <c r="I10" s="427"/>
      <c r="J10" s="431" t="s">
        <v>147</v>
      </c>
      <c r="K10" s="426"/>
      <c r="L10" s="427"/>
      <c r="M10" s="431" t="s">
        <v>148</v>
      </c>
      <c r="N10" s="426"/>
      <c r="O10" s="426"/>
      <c r="P10" s="432"/>
    </row>
    <row r="11" spans="1:17" ht="17" thickBot="1" x14ac:dyDescent="0.25">
      <c r="A11" s="194"/>
      <c r="B11" s="193"/>
      <c r="C11" s="193"/>
      <c r="D11" s="179"/>
      <c r="E11" s="179"/>
      <c r="F11" s="437" t="s">
        <v>150</v>
      </c>
      <c r="G11" s="438"/>
      <c r="H11" s="438"/>
      <c r="I11" s="439"/>
      <c r="J11" s="435" t="s">
        <v>142</v>
      </c>
      <c r="K11" s="423"/>
      <c r="L11" s="436"/>
      <c r="M11" s="435" t="s">
        <v>142</v>
      </c>
      <c r="N11" s="423"/>
      <c r="O11" s="423"/>
      <c r="P11" s="424"/>
    </row>
    <row r="12" spans="1:17" ht="17" thickBot="1" x14ac:dyDescent="0.25">
      <c r="A12" s="195" t="s">
        <v>149</v>
      </c>
      <c r="B12" s="196" t="s">
        <v>136</v>
      </c>
      <c r="C12" s="197" t="s">
        <v>137</v>
      </c>
      <c r="D12" s="179"/>
      <c r="E12" s="179"/>
      <c r="F12" s="437" t="s">
        <v>151</v>
      </c>
      <c r="G12" s="438"/>
      <c r="H12" s="438"/>
      <c r="I12" s="439"/>
      <c r="J12" s="431" t="s">
        <v>152</v>
      </c>
      <c r="K12" s="426"/>
      <c r="L12" s="427"/>
      <c r="M12" s="431" t="s">
        <v>153</v>
      </c>
      <c r="N12" s="426"/>
      <c r="O12" s="426"/>
      <c r="P12" s="432"/>
    </row>
    <row r="13" spans="1:17" ht="16" x14ac:dyDescent="0.2">
      <c r="A13" s="198" t="s">
        <v>240</v>
      </c>
      <c r="B13" s="199">
        <f>'Ministry Leader'!E64</f>
        <v>0</v>
      </c>
      <c r="C13" s="278" t="e">
        <f>B13/VLOOKUP(B5,'Reference Values'!I41:J44, 2, FALSE)</f>
        <v>#DIV/0!</v>
      </c>
      <c r="D13" s="179"/>
      <c r="E13" s="179"/>
      <c r="F13" s="440" t="s">
        <v>154</v>
      </c>
      <c r="G13" s="441"/>
      <c r="H13" s="441"/>
      <c r="I13" s="442"/>
      <c r="J13" s="435" t="s">
        <v>142</v>
      </c>
      <c r="K13" s="423"/>
      <c r="L13" s="436"/>
      <c r="M13" s="435" t="s">
        <v>142</v>
      </c>
      <c r="N13" s="423"/>
      <c r="O13" s="423"/>
      <c r="P13" s="424"/>
    </row>
    <row r="14" spans="1:17" ht="16" x14ac:dyDescent="0.2">
      <c r="A14" s="200" t="s">
        <v>213</v>
      </c>
      <c r="B14" s="179"/>
      <c r="C14" s="193"/>
      <c r="D14" s="179"/>
      <c r="E14" s="179"/>
      <c r="F14" s="425" t="s">
        <v>156</v>
      </c>
      <c r="G14" s="426"/>
      <c r="H14" s="426"/>
      <c r="I14" s="427"/>
      <c r="J14" s="201">
        <v>9</v>
      </c>
      <c r="K14" s="443"/>
      <c r="L14" s="444"/>
      <c r="M14" s="431" t="s">
        <v>157</v>
      </c>
      <c r="N14" s="426"/>
      <c r="O14" s="426"/>
      <c r="P14" s="432"/>
    </row>
    <row r="15" spans="1:17" ht="17" thickBot="1" x14ac:dyDescent="0.25">
      <c r="D15" s="179"/>
      <c r="E15" s="179"/>
      <c r="F15" s="447" t="s">
        <v>142</v>
      </c>
      <c r="G15" s="423"/>
      <c r="H15" s="423"/>
      <c r="I15" s="436"/>
      <c r="J15" s="448"/>
      <c r="K15" s="449"/>
      <c r="L15" s="450"/>
      <c r="M15" s="435" t="s">
        <v>142</v>
      </c>
      <c r="N15" s="423"/>
      <c r="O15" s="423"/>
      <c r="P15" s="424"/>
    </row>
    <row r="16" spans="1:17" ht="17" thickBot="1" x14ac:dyDescent="0.25">
      <c r="A16" s="195" t="s">
        <v>155</v>
      </c>
      <c r="B16" s="196" t="s">
        <v>136</v>
      </c>
      <c r="C16" s="197" t="s">
        <v>137</v>
      </c>
      <c r="D16" s="179"/>
      <c r="E16" s="179"/>
      <c r="F16" s="425" t="s">
        <v>160</v>
      </c>
      <c r="G16" s="426"/>
      <c r="H16" s="426"/>
      <c r="I16" s="427"/>
      <c r="J16" s="431" t="s">
        <v>161</v>
      </c>
      <c r="K16" s="426"/>
      <c r="L16" s="426"/>
      <c r="M16" s="431" t="s">
        <v>162</v>
      </c>
      <c r="N16" s="426"/>
      <c r="O16" s="426"/>
      <c r="P16" s="432"/>
    </row>
    <row r="17" spans="1:16" ht="16" x14ac:dyDescent="0.2">
      <c r="A17" s="202" t="s">
        <v>158</v>
      </c>
      <c r="B17" s="203">
        <f>C17*VLOOKUP(B5,'Reference Values'!I41:J44, 2, FALSE)</f>
        <v>0</v>
      </c>
      <c r="C17" s="250"/>
      <c r="D17" s="179"/>
      <c r="E17" s="179"/>
      <c r="F17" s="437" t="s">
        <v>164</v>
      </c>
      <c r="G17" s="438"/>
      <c r="H17" s="438"/>
      <c r="I17" s="439"/>
      <c r="J17" s="435" t="s">
        <v>142</v>
      </c>
      <c r="K17" s="423"/>
      <c r="L17" s="436"/>
      <c r="M17" s="204"/>
      <c r="N17" s="292" t="s">
        <v>165</v>
      </c>
      <c r="O17" s="451" t="s">
        <v>166</v>
      </c>
      <c r="P17" s="452"/>
    </row>
    <row r="18" spans="1:16" ht="20" x14ac:dyDescent="0.2">
      <c r="A18" s="205" t="s">
        <v>159</v>
      </c>
      <c r="B18" s="203">
        <f>C18*VLOOKUP(B5,'Reference Values'!I41:J44, 2, FALSE)</f>
        <v>0</v>
      </c>
      <c r="C18" s="251"/>
      <c r="D18" s="179"/>
      <c r="E18" s="179"/>
      <c r="F18" s="437" t="s">
        <v>168</v>
      </c>
      <c r="G18" s="438"/>
      <c r="H18" s="438"/>
      <c r="I18" s="439"/>
      <c r="J18" s="206" t="s">
        <v>169</v>
      </c>
      <c r="K18" s="206" t="s">
        <v>170</v>
      </c>
      <c r="L18" s="207" t="s">
        <v>171</v>
      </c>
      <c r="M18" s="208" t="s">
        <v>172</v>
      </c>
      <c r="N18" s="209" t="s">
        <v>173</v>
      </c>
      <c r="O18" s="445">
        <f>-B18</f>
        <v>0</v>
      </c>
      <c r="P18" s="446"/>
    </row>
    <row r="19" spans="1:16" ht="19" x14ac:dyDescent="0.2">
      <c r="A19" s="210" t="s">
        <v>163</v>
      </c>
      <c r="B19" s="252"/>
      <c r="C19" s="211" t="e">
        <f>B19/VLOOKUP(B5,'Reference Values'!I41:J44, 2, FALSE)</f>
        <v>#DIV/0!</v>
      </c>
      <c r="D19" s="179"/>
      <c r="E19" s="179"/>
      <c r="F19" s="437" t="s">
        <v>154</v>
      </c>
      <c r="G19" s="438"/>
      <c r="H19" s="438"/>
      <c r="I19" s="439"/>
      <c r="J19" s="212"/>
      <c r="K19" s="213" t="s">
        <v>175</v>
      </c>
      <c r="L19" s="214"/>
      <c r="M19" s="208" t="s">
        <v>176</v>
      </c>
      <c r="N19" s="209" t="s">
        <v>177</v>
      </c>
      <c r="O19" s="445">
        <f>-B22-B23</f>
        <v>0</v>
      </c>
      <c r="P19" s="446"/>
    </row>
    <row r="20" spans="1:16" ht="19" x14ac:dyDescent="0.2">
      <c r="A20" s="210" t="s">
        <v>243</v>
      </c>
      <c r="B20" s="252"/>
      <c r="C20" s="296" t="e">
        <f>B20/VLOOKUP(B5,'Reference Values'!I41:J44,2, FALSE)</f>
        <v>#DIV/0!</v>
      </c>
      <c r="D20" s="179"/>
      <c r="E20" s="179"/>
      <c r="F20" s="287"/>
      <c r="G20" s="288"/>
      <c r="H20" s="288"/>
      <c r="I20" s="289"/>
      <c r="J20" s="293"/>
      <c r="K20" s="294"/>
      <c r="L20" s="295"/>
      <c r="M20" s="208"/>
      <c r="N20" s="209"/>
      <c r="O20" s="290"/>
      <c r="P20" s="291"/>
    </row>
    <row r="21" spans="1:16" ht="16" x14ac:dyDescent="0.2">
      <c r="A21" s="215" t="s">
        <v>167</v>
      </c>
      <c r="B21" s="253"/>
      <c r="C21" s="211" t="e">
        <f>B21/VLOOKUP(B5,'Reference Values'!I41:J44,2, FALSE)</f>
        <v>#DIV/0!</v>
      </c>
      <c r="D21" s="179"/>
      <c r="E21" s="179"/>
      <c r="F21" s="453"/>
      <c r="G21" s="454"/>
      <c r="H21" s="454"/>
      <c r="I21" s="455"/>
      <c r="J21" s="431" t="s">
        <v>178</v>
      </c>
      <c r="K21" s="426"/>
      <c r="L21" s="426"/>
      <c r="M21" s="216" t="s">
        <v>179</v>
      </c>
      <c r="N21" s="217"/>
      <c r="O21" s="456"/>
      <c r="P21" s="457"/>
    </row>
    <row r="22" spans="1:16" ht="17" thickBot="1" x14ac:dyDescent="0.25">
      <c r="A22" s="218" t="s">
        <v>174</v>
      </c>
      <c r="B22" s="254"/>
      <c r="C22" s="219" t="e">
        <f>B22/VLOOKUP(B5,'Reference Values'!I41:J44, 2, FALSE)</f>
        <v>#DIV/0!</v>
      </c>
      <c r="D22" s="179"/>
      <c r="E22" s="179"/>
      <c r="F22" s="458" t="s">
        <v>180</v>
      </c>
      <c r="G22" s="459"/>
      <c r="H22" s="459"/>
      <c r="I22" s="460"/>
      <c r="J22" s="279" t="s">
        <v>181</v>
      </c>
      <c r="K22" s="421">
        <f>B13</f>
        <v>0</v>
      </c>
      <c r="L22" s="422"/>
      <c r="M22" s="461"/>
      <c r="N22" s="462"/>
      <c r="O22" s="462"/>
      <c r="P22" s="463"/>
    </row>
    <row r="23" spans="1:16" ht="17" thickBot="1" x14ac:dyDescent="0.25">
      <c r="A23" s="220" t="s">
        <v>207</v>
      </c>
      <c r="B23" s="255"/>
      <c r="C23" s="193"/>
      <c r="D23" s="221"/>
      <c r="E23" s="221"/>
      <c r="F23" s="222" t="s">
        <v>182</v>
      </c>
      <c r="G23" s="431" t="s">
        <v>183</v>
      </c>
      <c r="H23" s="427"/>
      <c r="I23" s="223" t="s">
        <v>184</v>
      </c>
      <c r="J23" s="464" t="s">
        <v>185</v>
      </c>
      <c r="K23" s="465"/>
      <c r="L23" s="431" t="s">
        <v>186</v>
      </c>
      <c r="M23" s="426"/>
      <c r="N23" s="427"/>
      <c r="O23" s="224" t="s">
        <v>187</v>
      </c>
      <c r="P23" s="225" t="s">
        <v>188</v>
      </c>
    </row>
    <row r="24" spans="1:16" ht="16" x14ac:dyDescent="0.2">
      <c r="A24" s="226" t="s">
        <v>218</v>
      </c>
      <c r="B24" s="179"/>
      <c r="C24" s="179"/>
      <c r="D24" s="179"/>
      <c r="E24" s="179"/>
      <c r="F24" s="256" t="s">
        <v>190</v>
      </c>
      <c r="G24" s="466" t="s">
        <v>191</v>
      </c>
      <c r="H24" s="467"/>
      <c r="I24" s="227">
        <f>J7</f>
        <v>0</v>
      </c>
      <c r="J24" s="468" t="s">
        <v>142</v>
      </c>
      <c r="K24" s="469"/>
      <c r="L24" s="470">
        <f>I24</f>
        <v>0</v>
      </c>
      <c r="M24" s="471"/>
      <c r="N24" s="472"/>
      <c r="O24" s="228" t="s">
        <v>142</v>
      </c>
      <c r="P24" s="257" t="s">
        <v>192</v>
      </c>
    </row>
    <row r="25" spans="1:16" ht="16" thickBot="1" x14ac:dyDescent="0.25">
      <c r="A25" s="229" t="s">
        <v>214</v>
      </c>
      <c r="D25" s="230"/>
      <c r="E25" s="230"/>
      <c r="F25" s="231"/>
      <c r="G25" s="473"/>
      <c r="H25" s="474"/>
      <c r="I25" s="232"/>
      <c r="J25" s="473"/>
      <c r="K25" s="474"/>
      <c r="L25" s="473"/>
      <c r="M25" s="475"/>
      <c r="N25" s="474"/>
      <c r="O25" s="233"/>
      <c r="P25" s="234"/>
    </row>
    <row r="26" spans="1:16" ht="16" thickBot="1" x14ac:dyDescent="0.25">
      <c r="D26" s="235"/>
      <c r="E26" s="235"/>
      <c r="M26" s="36"/>
      <c r="N26" s="36"/>
      <c r="O26" s="36"/>
    </row>
    <row r="27" spans="1:16" ht="17" thickBot="1" x14ac:dyDescent="0.25">
      <c r="A27" s="236" t="s">
        <v>189</v>
      </c>
      <c r="B27" s="237" t="s">
        <v>136</v>
      </c>
      <c r="C27" s="238" t="s">
        <v>137</v>
      </c>
      <c r="D27" s="235"/>
      <c r="E27" s="235"/>
      <c r="F27" s="259" t="s">
        <v>194</v>
      </c>
      <c r="G27" s="239" t="s">
        <v>195</v>
      </c>
      <c r="M27" s="36"/>
      <c r="N27" s="36"/>
      <c r="O27" s="36"/>
    </row>
    <row r="28" spans="1:16" ht="14.5" customHeight="1" thickBot="1" x14ac:dyDescent="0.25">
      <c r="A28" s="240" t="s">
        <v>193</v>
      </c>
      <c r="B28" s="241">
        <f>B10+B17+B18+B19+B20+B21+B22</f>
        <v>0</v>
      </c>
      <c r="C28" s="242" t="e">
        <f>B28/VLOOKUP(B5,'Reference Values'!I41:J44, 2, FALSE)</f>
        <v>#DIV/0!</v>
      </c>
      <c r="D28" s="235"/>
      <c r="E28" s="235"/>
      <c r="F28" s="260" t="s">
        <v>196</v>
      </c>
      <c r="G28" s="244" t="s">
        <v>219</v>
      </c>
      <c r="H28" s="244"/>
      <c r="I28" s="244"/>
      <c r="J28" s="244"/>
      <c r="K28" s="244"/>
      <c r="L28" s="244"/>
      <c r="M28" s="244"/>
      <c r="N28" s="244"/>
      <c r="O28" s="244"/>
      <c r="P28" s="244"/>
    </row>
    <row r="29" spans="1:16" ht="14.5" customHeight="1" x14ac:dyDescent="0.2">
      <c r="D29" s="235"/>
      <c r="E29" s="235"/>
      <c r="F29" s="243"/>
      <c r="G29" s="476" t="s">
        <v>197</v>
      </c>
      <c r="H29" s="476"/>
      <c r="I29" s="476"/>
      <c r="J29" s="476"/>
      <c r="K29" s="476"/>
      <c r="L29" s="476"/>
      <c r="M29" s="476"/>
      <c r="N29" s="476"/>
      <c r="O29" s="476"/>
      <c r="P29" s="476"/>
    </row>
    <row r="30" spans="1:16" ht="14.5" customHeight="1" x14ac:dyDescent="0.2">
      <c r="F30" s="243"/>
      <c r="G30" s="476" t="s">
        <v>198</v>
      </c>
      <c r="H30" s="476"/>
      <c r="I30" s="476"/>
      <c r="J30" s="476"/>
      <c r="K30" s="476"/>
      <c r="L30" s="476"/>
      <c r="M30" s="476"/>
      <c r="N30" s="476"/>
      <c r="O30" s="476"/>
      <c r="P30" s="476"/>
    </row>
    <row r="31" spans="1:16" x14ac:dyDescent="0.2">
      <c r="A31" s="479" t="s">
        <v>201</v>
      </c>
      <c r="B31" s="479"/>
      <c r="C31" s="479"/>
      <c r="F31" s="260" t="s">
        <v>199</v>
      </c>
      <c r="G31" s="476" t="s">
        <v>200</v>
      </c>
      <c r="H31" s="476"/>
      <c r="I31" s="476"/>
      <c r="J31" s="476"/>
      <c r="K31" s="476"/>
      <c r="L31" s="476"/>
      <c r="M31" s="476"/>
      <c r="N31" s="476"/>
      <c r="O31" s="476"/>
      <c r="P31" s="476"/>
    </row>
    <row r="32" spans="1:16" x14ac:dyDescent="0.2">
      <c r="A32" s="245" t="s">
        <v>204</v>
      </c>
      <c r="B32" s="245"/>
      <c r="C32" s="245"/>
      <c r="F32" s="260" t="s">
        <v>202</v>
      </c>
      <c r="G32" s="476" t="s">
        <v>200</v>
      </c>
      <c r="H32" s="476"/>
      <c r="I32" s="476"/>
      <c r="J32" s="476"/>
      <c r="K32" s="476"/>
      <c r="L32" s="476"/>
      <c r="M32" s="476"/>
      <c r="N32" s="476"/>
      <c r="O32" s="476"/>
      <c r="P32" s="476"/>
    </row>
    <row r="33" spans="1:16" x14ac:dyDescent="0.2">
      <c r="A33" s="246" t="s">
        <v>205</v>
      </c>
      <c r="F33" s="478" t="s">
        <v>203</v>
      </c>
      <c r="G33" s="478"/>
      <c r="H33" s="478"/>
      <c r="I33" s="478"/>
      <c r="J33" s="478"/>
      <c r="K33" s="478"/>
      <c r="L33" s="478"/>
      <c r="M33" s="478"/>
      <c r="N33" s="478"/>
      <c r="O33" s="478"/>
      <c r="P33" s="478"/>
    </row>
    <row r="34" spans="1:16" x14ac:dyDescent="0.2">
      <c r="A34" s="247"/>
      <c r="B34" s="247"/>
      <c r="C34" s="247"/>
    </row>
    <row r="35" spans="1:16" ht="14.5" customHeight="1" x14ac:dyDescent="0.2">
      <c r="A35" s="477" t="s">
        <v>206</v>
      </c>
      <c r="B35" s="477"/>
      <c r="C35" s="477"/>
      <c r="F35" s="248" t="s">
        <v>223</v>
      </c>
      <c r="G35" s="248"/>
      <c r="H35" s="248"/>
      <c r="I35" s="248"/>
      <c r="J35" s="248"/>
      <c r="K35" s="248"/>
      <c r="L35" s="248"/>
      <c r="M35" s="248"/>
      <c r="N35" s="248"/>
      <c r="O35" s="248"/>
      <c r="P35" s="248"/>
    </row>
    <row r="36" spans="1:16" x14ac:dyDescent="0.2">
      <c r="A36" s="477"/>
      <c r="B36" s="477"/>
      <c r="C36" s="477"/>
      <c r="F36" s="258" t="s">
        <v>220</v>
      </c>
    </row>
    <row r="37" spans="1:16" x14ac:dyDescent="0.2">
      <c r="A37" s="477"/>
      <c r="B37" s="477"/>
      <c r="C37" s="477"/>
    </row>
    <row r="38" spans="1:16" x14ac:dyDescent="0.2">
      <c r="A38" s="247"/>
      <c r="B38" s="247"/>
      <c r="C38" s="247"/>
      <c r="F38" s="480" t="s">
        <v>241</v>
      </c>
      <c r="G38" s="480"/>
      <c r="H38" s="480"/>
      <c r="I38" s="480"/>
      <c r="J38" s="480"/>
      <c r="K38" s="480"/>
      <c r="L38" s="480"/>
      <c r="M38" s="480"/>
      <c r="N38" s="480"/>
      <c r="O38" s="480"/>
      <c r="P38" s="480"/>
    </row>
    <row r="39" spans="1:16" x14ac:dyDescent="0.2">
      <c r="F39" s="480"/>
      <c r="G39" s="480"/>
      <c r="H39" s="480"/>
      <c r="I39" s="480"/>
      <c r="J39" s="480"/>
      <c r="K39" s="480"/>
      <c r="L39" s="480"/>
      <c r="M39" s="480"/>
      <c r="N39" s="480"/>
      <c r="O39" s="480"/>
      <c r="P39" s="480"/>
    </row>
    <row r="40" spans="1:16" x14ac:dyDescent="0.2">
      <c r="F40" s="170" t="s">
        <v>221</v>
      </c>
      <c r="G40" s="249"/>
      <c r="H40" s="249"/>
      <c r="I40" s="249"/>
      <c r="J40" s="249"/>
      <c r="K40" s="249"/>
      <c r="L40" s="249"/>
      <c r="M40" s="249"/>
      <c r="N40" s="249"/>
      <c r="O40" s="249"/>
      <c r="P40" s="249"/>
    </row>
    <row r="41" spans="1:16" ht="10" customHeight="1" x14ac:dyDescent="0.2"/>
    <row r="42" spans="1:16" x14ac:dyDescent="0.2">
      <c r="F42" s="480" t="s">
        <v>224</v>
      </c>
      <c r="G42" s="480"/>
      <c r="H42" s="480"/>
      <c r="I42" s="480"/>
      <c r="J42" s="480"/>
      <c r="K42" s="480"/>
      <c r="L42" s="480"/>
      <c r="M42" s="480"/>
      <c r="N42" s="480"/>
      <c r="O42" s="480"/>
      <c r="P42" s="480"/>
    </row>
    <row r="43" spans="1:16" x14ac:dyDescent="0.2">
      <c r="F43" s="480"/>
      <c r="G43" s="480"/>
      <c r="H43" s="480"/>
      <c r="I43" s="480"/>
      <c r="J43" s="480"/>
      <c r="K43" s="480"/>
      <c r="L43" s="480"/>
      <c r="M43" s="480"/>
      <c r="N43" s="480"/>
      <c r="O43" s="480"/>
      <c r="P43" s="480"/>
    </row>
    <row r="44" spans="1:16" ht="14.5" customHeight="1" x14ac:dyDescent="0.2">
      <c r="F44" s="480"/>
      <c r="G44" s="480"/>
      <c r="H44" s="480"/>
      <c r="I44" s="480"/>
      <c r="J44" s="480"/>
      <c r="K44" s="480"/>
      <c r="L44" s="480"/>
      <c r="M44" s="480"/>
      <c r="N44" s="480"/>
      <c r="O44" s="480"/>
      <c r="P44" s="480"/>
    </row>
    <row r="45" spans="1:16" x14ac:dyDescent="0.2">
      <c r="F45" s="258" t="s">
        <v>222</v>
      </c>
    </row>
    <row r="46" spans="1:16" ht="10" customHeight="1" x14ac:dyDescent="0.2"/>
    <row r="47" spans="1:16" x14ac:dyDescent="0.2">
      <c r="F47" s="481" t="s">
        <v>225</v>
      </c>
      <c r="G47" s="481"/>
      <c r="H47" s="481"/>
      <c r="I47" s="481"/>
      <c r="J47" s="481"/>
      <c r="K47" s="481"/>
      <c r="L47" s="481"/>
      <c r="M47" s="481"/>
      <c r="N47" s="481"/>
      <c r="O47" s="481"/>
      <c r="P47" s="481"/>
    </row>
    <row r="48" spans="1:16" x14ac:dyDescent="0.2">
      <c r="F48" s="481"/>
      <c r="G48" s="481"/>
      <c r="H48" s="481"/>
      <c r="I48" s="481"/>
      <c r="J48" s="481"/>
      <c r="K48" s="481"/>
      <c r="L48" s="481"/>
      <c r="M48" s="481"/>
      <c r="N48" s="481"/>
      <c r="O48" s="481"/>
      <c r="P48" s="481"/>
    </row>
    <row r="49" spans="6:16" x14ac:dyDescent="0.2">
      <c r="F49" s="481"/>
      <c r="G49" s="481"/>
      <c r="H49" s="481"/>
      <c r="I49" s="481"/>
      <c r="J49" s="481"/>
      <c r="K49" s="481"/>
      <c r="L49" s="481"/>
      <c r="M49" s="481"/>
      <c r="N49" s="481"/>
      <c r="O49" s="481"/>
      <c r="P49" s="481"/>
    </row>
    <row r="50" spans="6:16" ht="10" customHeight="1" x14ac:dyDescent="0.2"/>
    <row r="51" spans="6:16" ht="14.5" customHeight="1" x14ac:dyDescent="0.2">
      <c r="F51" s="479" t="s">
        <v>201</v>
      </c>
      <c r="G51" s="479"/>
      <c r="H51" s="479"/>
      <c r="I51" s="479"/>
      <c r="J51" s="479"/>
      <c r="K51" s="479"/>
      <c r="L51" s="479"/>
      <c r="M51" s="479"/>
      <c r="N51" s="479"/>
      <c r="O51" s="479"/>
      <c r="P51" s="479"/>
    </row>
    <row r="52" spans="6:16" x14ac:dyDescent="0.2">
      <c r="F52" s="482" t="s">
        <v>204</v>
      </c>
      <c r="G52" s="482"/>
      <c r="H52" s="482"/>
      <c r="I52" s="482"/>
      <c r="J52" s="482"/>
      <c r="K52" s="482"/>
      <c r="L52" s="482"/>
      <c r="M52" s="482"/>
      <c r="N52" s="482"/>
      <c r="O52" s="482"/>
      <c r="P52" s="482"/>
    </row>
    <row r="53" spans="6:16" x14ac:dyDescent="0.2">
      <c r="F53" s="483" t="s">
        <v>205</v>
      </c>
      <c r="G53" s="483"/>
      <c r="H53" s="483"/>
      <c r="I53" s="483"/>
      <c r="J53" s="483"/>
      <c r="K53" s="483"/>
      <c r="L53" s="483"/>
      <c r="M53" s="483"/>
      <c r="N53" s="483"/>
      <c r="O53" s="483"/>
      <c r="P53" s="483"/>
    </row>
    <row r="54" spans="6:16" ht="10" customHeight="1" x14ac:dyDescent="0.2"/>
    <row r="55" spans="6:16" x14ac:dyDescent="0.2">
      <c r="F55" s="477" t="s">
        <v>206</v>
      </c>
      <c r="G55" s="477"/>
      <c r="H55" s="477"/>
      <c r="I55" s="477"/>
      <c r="J55" s="477"/>
      <c r="K55" s="477"/>
      <c r="L55" s="477"/>
      <c r="M55" s="477"/>
      <c r="N55" s="477"/>
      <c r="O55" s="477"/>
      <c r="P55" s="477"/>
    </row>
    <row r="56" spans="6:16" x14ac:dyDescent="0.2">
      <c r="F56" s="477"/>
      <c r="G56" s="477"/>
      <c r="H56" s="477"/>
      <c r="I56" s="477"/>
      <c r="J56" s="477"/>
      <c r="K56" s="477"/>
      <c r="L56" s="477"/>
      <c r="M56" s="477"/>
      <c r="N56" s="477"/>
      <c r="O56" s="477"/>
      <c r="P56" s="477"/>
    </row>
    <row r="57" spans="6:16" x14ac:dyDescent="0.2">
      <c r="F57" s="477"/>
      <c r="G57" s="477"/>
      <c r="H57" s="477"/>
      <c r="I57" s="477"/>
      <c r="J57" s="477"/>
      <c r="K57" s="477"/>
      <c r="L57" s="477"/>
      <c r="M57" s="477"/>
      <c r="N57" s="477"/>
      <c r="O57" s="477"/>
      <c r="P57" s="477"/>
    </row>
  </sheetData>
  <mergeCells count="75">
    <mergeCell ref="F55:P57"/>
    <mergeCell ref="A35:C37"/>
    <mergeCell ref="G32:P32"/>
    <mergeCell ref="F33:P33"/>
    <mergeCell ref="A31:C31"/>
    <mergeCell ref="F38:P39"/>
    <mergeCell ref="F42:P44"/>
    <mergeCell ref="G31:P31"/>
    <mergeCell ref="F47:P49"/>
    <mergeCell ref="F51:P51"/>
    <mergeCell ref="F52:P52"/>
    <mergeCell ref="F53:P53"/>
    <mergeCell ref="G25:H25"/>
    <mergeCell ref="J25:K25"/>
    <mergeCell ref="L25:N25"/>
    <mergeCell ref="G29:P29"/>
    <mergeCell ref="G30:P30"/>
    <mergeCell ref="G23:H23"/>
    <mergeCell ref="J23:K23"/>
    <mergeCell ref="L23:N23"/>
    <mergeCell ref="G24:H24"/>
    <mergeCell ref="J24:K24"/>
    <mergeCell ref="L24:N24"/>
    <mergeCell ref="F21:I21"/>
    <mergeCell ref="J21:L21"/>
    <mergeCell ref="O21:P21"/>
    <mergeCell ref="F22:I22"/>
    <mergeCell ref="K22:L22"/>
    <mergeCell ref="M22:P22"/>
    <mergeCell ref="F19:I19"/>
    <mergeCell ref="O19:P19"/>
    <mergeCell ref="F15:I15"/>
    <mergeCell ref="J15:L15"/>
    <mergeCell ref="M15:P15"/>
    <mergeCell ref="F16:I16"/>
    <mergeCell ref="J16:L16"/>
    <mergeCell ref="M16:P16"/>
    <mergeCell ref="F17:I17"/>
    <mergeCell ref="J17:L17"/>
    <mergeCell ref="O17:P17"/>
    <mergeCell ref="F18:I18"/>
    <mergeCell ref="O18:P18"/>
    <mergeCell ref="F13:I13"/>
    <mergeCell ref="J13:L13"/>
    <mergeCell ref="M13:P13"/>
    <mergeCell ref="F14:I14"/>
    <mergeCell ref="K14:L14"/>
    <mergeCell ref="M14:P14"/>
    <mergeCell ref="F11:I11"/>
    <mergeCell ref="J11:L11"/>
    <mergeCell ref="M11:P11"/>
    <mergeCell ref="F12:I12"/>
    <mergeCell ref="J12:L12"/>
    <mergeCell ref="M12:P12"/>
    <mergeCell ref="F9:I9"/>
    <mergeCell ref="J9:L9"/>
    <mergeCell ref="M9:P9"/>
    <mergeCell ref="F10:I10"/>
    <mergeCell ref="J10:L10"/>
    <mergeCell ref="M10:P10"/>
    <mergeCell ref="H7:I7"/>
    <mergeCell ref="J7:L7"/>
    <mergeCell ref="M7:P7"/>
    <mergeCell ref="F8:I8"/>
    <mergeCell ref="J8:L8"/>
    <mergeCell ref="M8:P8"/>
    <mergeCell ref="A1:Q1"/>
    <mergeCell ref="A3:C3"/>
    <mergeCell ref="F3:P3"/>
    <mergeCell ref="F4:P4"/>
    <mergeCell ref="F6:G6"/>
    <mergeCell ref="H6:I6"/>
    <mergeCell ref="J6:L6"/>
    <mergeCell ref="M6:P6"/>
    <mergeCell ref="B5:C5"/>
  </mergeCells>
  <dataValidations count="1">
    <dataValidation type="decimal" operator="lessThanOrEqual" allowBlank="1" showInputMessage="1" showErrorMessage="1" sqref="C17:C18 B19:B23" xr:uid="{00000000-0002-0000-0100-000000000000}">
      <formula1>0</formula1>
    </dataValidation>
  </dataValidations>
  <hyperlinks>
    <hyperlink ref="F36" r:id="rId1" xr:uid="{00000000-0004-0000-0100-000000000000}"/>
    <hyperlink ref="F40" r:id="rId2" xr:uid="{00000000-0004-0000-0100-000001000000}"/>
    <hyperlink ref="F45" r:id="rId3" xr:uid="{00000000-0004-0000-0100-000002000000}"/>
  </hyperlinks>
  <printOptions horizontalCentered="1"/>
  <pageMargins left="0.5" right="0.5" top="0.5" bottom="0.4" header="0.3" footer="0.3"/>
  <pageSetup scale="83" fitToWidth="2" orientation="portrait" horizontalDpi="1200" verticalDpi="1200" r:id="rId4"/>
  <colBreaks count="1" manualBreakCount="1">
    <brk id="4" min="1" max="56" man="1"/>
  </col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'Reference Values'!$I$41:$I$44</xm:f>
          </x14:formula1>
          <xm:sqref>B5:C5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B1:Y435"/>
  <sheetViews>
    <sheetView zoomScale="90" zoomScaleNormal="90" workbookViewId="0">
      <selection activeCell="G8" sqref="G8"/>
    </sheetView>
  </sheetViews>
  <sheetFormatPr baseColWidth="10" defaultColWidth="8.6640625" defaultRowHeight="15" x14ac:dyDescent="0.2"/>
  <cols>
    <col min="1" max="1" width="5.6640625" customWidth="1"/>
    <col min="2" max="2" width="12.83203125" customWidth="1"/>
    <col min="3" max="5" width="13.1640625" customWidth="1"/>
    <col min="6" max="7" width="12.33203125" customWidth="1"/>
    <col min="8" max="8" width="5.6640625" customWidth="1"/>
    <col min="9" max="9" width="25" bestFit="1" customWidth="1"/>
    <col min="10" max="10" width="12.5" customWidth="1"/>
    <col min="11" max="11" width="5.6640625" customWidth="1"/>
    <col min="12" max="12" width="7.83203125" style="2" customWidth="1"/>
    <col min="13" max="14" width="12.83203125" style="1" customWidth="1"/>
    <col min="15" max="15" width="5.6640625" style="1" customWidth="1"/>
    <col min="16" max="16" width="19.83203125" customWidth="1"/>
    <col min="17" max="17" width="12.5" customWidth="1"/>
    <col min="18" max="18" width="5.6640625" customWidth="1"/>
  </cols>
  <sheetData>
    <row r="1" spans="2:25" ht="16.25" customHeight="1" x14ac:dyDescent="0.2"/>
    <row r="2" spans="2:25" ht="20" customHeight="1" x14ac:dyDescent="0.2">
      <c r="B2" s="493" t="s">
        <v>103</v>
      </c>
      <c r="C2" s="493"/>
      <c r="D2" s="493"/>
      <c r="E2" s="493"/>
      <c r="F2" s="493"/>
      <c r="G2" s="493"/>
      <c r="H2" s="493"/>
      <c r="I2" s="493"/>
      <c r="J2" s="493"/>
      <c r="K2" s="493"/>
      <c r="L2" s="493"/>
      <c r="M2" s="493"/>
      <c r="N2" s="493"/>
      <c r="O2" s="493"/>
      <c r="P2" s="493"/>
      <c r="Q2" s="493"/>
      <c r="R2" s="493"/>
      <c r="S2" s="493"/>
      <c r="T2" s="493"/>
      <c r="U2" s="493"/>
      <c r="V2" s="493"/>
      <c r="W2" s="493"/>
      <c r="X2" s="493"/>
      <c r="Y2" s="493"/>
    </row>
    <row r="3" spans="2:25" ht="16.25" customHeight="1" thickBot="1" x14ac:dyDescent="0.25"/>
    <row r="4" spans="2:25" ht="16.25" customHeight="1" thickBot="1" x14ac:dyDescent="0.25">
      <c r="B4" s="491" t="s">
        <v>116</v>
      </c>
      <c r="C4" s="506" t="s">
        <v>117</v>
      </c>
      <c r="D4" s="506" t="s">
        <v>120</v>
      </c>
      <c r="E4" s="508" t="s">
        <v>282</v>
      </c>
      <c r="F4" s="509"/>
      <c r="G4" s="301" t="s">
        <v>251</v>
      </c>
      <c r="I4" s="72" t="s">
        <v>119</v>
      </c>
      <c r="J4" s="160">
        <v>2024</v>
      </c>
      <c r="L4" s="75" t="s">
        <v>49</v>
      </c>
      <c r="M4" s="76" t="s">
        <v>124</v>
      </c>
      <c r="N4" s="77" t="s">
        <v>125</v>
      </c>
      <c r="O4" s="3"/>
      <c r="P4" s="103" t="s">
        <v>81</v>
      </c>
      <c r="Q4" s="104"/>
      <c r="S4" s="494" t="s">
        <v>75</v>
      </c>
      <c r="T4" s="495"/>
      <c r="U4" s="495"/>
      <c r="V4" s="495"/>
      <c r="W4" s="495"/>
      <c r="X4" s="495"/>
      <c r="Y4" s="496"/>
    </row>
    <row r="5" spans="2:25" ht="14.5" customHeight="1" thickBot="1" x14ac:dyDescent="0.25">
      <c r="B5" s="492"/>
      <c r="C5" s="507"/>
      <c r="D5" s="507"/>
      <c r="E5" s="132" t="s">
        <v>121</v>
      </c>
      <c r="F5" s="133" t="s">
        <v>122</v>
      </c>
      <c r="G5" s="305" t="s">
        <v>252</v>
      </c>
      <c r="I5" s="81" t="str">
        <f>"Annual Inflation for "&amp;J4&amp;":"</f>
        <v>Annual Inflation for 2024:</v>
      </c>
      <c r="J5" s="143">
        <f>VLOOKUP($J$4,B6:F33,2,FALSE)</f>
        <v>0.08</v>
      </c>
      <c r="L5" s="78">
        <v>0</v>
      </c>
      <c r="M5" s="154">
        <v>0</v>
      </c>
      <c r="N5" s="149">
        <v>0</v>
      </c>
      <c r="P5" s="105" t="s">
        <v>50</v>
      </c>
      <c r="Q5" s="97" t="s">
        <v>54</v>
      </c>
      <c r="S5" s="497" t="s">
        <v>233</v>
      </c>
      <c r="T5" s="498"/>
      <c r="U5" s="498"/>
      <c r="V5" s="498"/>
      <c r="W5" s="498"/>
      <c r="X5" s="498"/>
      <c r="Y5" s="499"/>
    </row>
    <row r="6" spans="2:25" ht="15" customHeight="1" thickBot="1" x14ac:dyDescent="0.25">
      <c r="B6" s="128">
        <v>2021</v>
      </c>
      <c r="C6" s="134" t="s">
        <v>118</v>
      </c>
      <c r="D6" s="134" t="s">
        <v>118</v>
      </c>
      <c r="E6" s="135">
        <v>48500</v>
      </c>
      <c r="F6" s="136">
        <v>48500</v>
      </c>
      <c r="G6" s="302">
        <v>150</v>
      </c>
      <c r="H6" s="131"/>
      <c r="I6" s="82" t="str">
        <f>"Accrued Inlfation to "&amp;J4&amp;":"</f>
        <v>Accrued Inlfation to 2024:</v>
      </c>
      <c r="J6" s="144">
        <f>VLOOKUP($J$4,B6:F33,3,FALSE)</f>
        <v>0.14432912000000009</v>
      </c>
      <c r="L6" s="79">
        <f>L5+0.5</f>
        <v>0.5</v>
      </c>
      <c r="M6" s="155">
        <f>$J$36</f>
        <v>1001.29</v>
      </c>
      <c r="N6" s="156">
        <f>+M6+N5</f>
        <v>1001.29</v>
      </c>
      <c r="P6" s="98" t="s">
        <v>107</v>
      </c>
      <c r="Q6" s="99">
        <v>1</v>
      </c>
      <c r="S6" s="500"/>
      <c r="T6" s="501"/>
      <c r="U6" s="501"/>
      <c r="V6" s="501"/>
      <c r="W6" s="501"/>
      <c r="X6" s="501"/>
      <c r="Y6" s="502"/>
    </row>
    <row r="7" spans="2:25" ht="15" customHeight="1" thickBot="1" x14ac:dyDescent="0.25">
      <c r="B7" s="128">
        <v>2022</v>
      </c>
      <c r="C7" s="127">
        <v>1.2E-2</v>
      </c>
      <c r="D7" s="137">
        <f>C7</f>
        <v>1.2E-2</v>
      </c>
      <c r="E7" s="138">
        <f>+E6*(1+C7)</f>
        <v>49082</v>
      </c>
      <c r="F7" s="139">
        <f>IF(ISNUMBER(D7),F$6*(1+D7),0)</f>
        <v>49082</v>
      </c>
      <c r="G7" s="303">
        <f>ROUND(IF(ISNUMBER(D7),G$6*(1+D7),0)/5,0)*5</f>
        <v>150</v>
      </c>
      <c r="I7" s="316" t="str">
        <f>"Pastor Baseline for "&amp;$J$4</f>
        <v>Pastor Baseline for 2024</v>
      </c>
      <c r="J7" s="159">
        <f>VLOOKUP($J$4,B6:F33,4,FALSE)</f>
        <v>55499.962320000006</v>
      </c>
      <c r="L7" s="79">
        <f t="shared" ref="L7:L70" si="0">L6+0.5</f>
        <v>1</v>
      </c>
      <c r="M7" s="155">
        <f t="shared" ref="M7:M38" si="1">IF(L7&lt;25,M6-$J$38,$J$37)</f>
        <v>983.77</v>
      </c>
      <c r="N7" s="156">
        <f>+M7+N6</f>
        <v>1985.06</v>
      </c>
      <c r="P7" s="98" t="s">
        <v>82</v>
      </c>
      <c r="Q7" s="99">
        <v>0.75</v>
      </c>
      <c r="S7" s="500"/>
      <c r="T7" s="501"/>
      <c r="U7" s="501"/>
      <c r="V7" s="501"/>
      <c r="W7" s="501"/>
      <c r="X7" s="501"/>
      <c r="Y7" s="502"/>
    </row>
    <row r="8" spans="2:25" ht="14.5" customHeight="1" thickBot="1" x14ac:dyDescent="0.25">
      <c r="B8" s="128">
        <v>2023</v>
      </c>
      <c r="C8" s="127">
        <v>4.7E-2</v>
      </c>
      <c r="D8" s="137">
        <f>IF(AND(ISNUMBER(C8),ISNUMBER(D7)),(1+D7)*(1+C8)-1,"-")</f>
        <v>5.956399999999995E-2</v>
      </c>
      <c r="E8" s="138">
        <f>IF(AND(ISNUMBER(C8),ISNUMBER(E7)),E7*(1+C8),0)</f>
        <v>51388.853999999999</v>
      </c>
      <c r="F8" s="139">
        <f t="shared" ref="F8:F25" si="2">IF(ISNUMBER(D8),F$6*(1+D8),0)</f>
        <v>51388.853999999999</v>
      </c>
      <c r="G8" s="303">
        <f t="shared" ref="G8:G25" si="3">ROUND(IF(ISNUMBER(D8),G$6*(1+D8),0)/5,0)*5</f>
        <v>160</v>
      </c>
      <c r="H8" s="131"/>
      <c r="I8" s="19"/>
      <c r="L8" s="79">
        <f t="shared" si="0"/>
        <v>1.5</v>
      </c>
      <c r="M8" s="155">
        <f t="shared" si="1"/>
        <v>966.25</v>
      </c>
      <c r="N8" s="156">
        <f t="shared" ref="N8:N71" si="4">+M8+N7</f>
        <v>2951.31</v>
      </c>
      <c r="P8" s="98" t="s">
        <v>94</v>
      </c>
      <c r="Q8" s="99">
        <f>2/3</f>
        <v>0.66666666666666663</v>
      </c>
      <c r="S8" s="500"/>
      <c r="T8" s="501"/>
      <c r="U8" s="501"/>
      <c r="V8" s="501"/>
      <c r="W8" s="501"/>
      <c r="X8" s="501"/>
      <c r="Y8" s="502"/>
    </row>
    <row r="9" spans="2:25" ht="15" customHeight="1" thickBot="1" x14ac:dyDescent="0.25">
      <c r="B9" s="128">
        <v>2024</v>
      </c>
      <c r="C9" s="127">
        <v>0.08</v>
      </c>
      <c r="D9" s="137">
        <f t="shared" ref="D9:D25" si="5">IF(AND(ISNUMBER(C9),ISNUMBER(D8)),(1+D8)*(1+C9)-1,"-")</f>
        <v>0.14432912000000009</v>
      </c>
      <c r="E9" s="138">
        <f t="shared" ref="E9:E25" si="6">IF(AND(ISNUMBER(C9),ISNUMBER(E8)),E8*(1+C9),0)</f>
        <v>55499.962320000006</v>
      </c>
      <c r="F9" s="139">
        <f t="shared" si="2"/>
        <v>55499.962320000006</v>
      </c>
      <c r="G9" s="303">
        <f>ROUND(IF(ISNUMBER(D9),G$6*(1+D9),0)/5,0)*5</f>
        <v>170</v>
      </c>
      <c r="H9" s="131"/>
      <c r="I9" s="72" t="s">
        <v>234</v>
      </c>
      <c r="J9" s="283"/>
      <c r="L9" s="79">
        <f t="shared" si="0"/>
        <v>2</v>
      </c>
      <c r="M9" s="155">
        <f t="shared" si="1"/>
        <v>948.73</v>
      </c>
      <c r="N9" s="156">
        <f t="shared" si="4"/>
        <v>3900.04</v>
      </c>
      <c r="P9" s="98" t="s">
        <v>83</v>
      </c>
      <c r="Q9" s="99">
        <v>0.5</v>
      </c>
      <c r="S9" s="500"/>
      <c r="T9" s="501"/>
      <c r="U9" s="501"/>
      <c r="V9" s="501"/>
      <c r="W9" s="501"/>
      <c r="X9" s="501"/>
      <c r="Y9" s="502"/>
    </row>
    <row r="10" spans="2:25" ht="14.5" customHeight="1" x14ac:dyDescent="0.2">
      <c r="B10" s="128">
        <v>2025</v>
      </c>
      <c r="C10" s="127"/>
      <c r="D10" s="137" t="str">
        <f t="shared" si="5"/>
        <v>-</v>
      </c>
      <c r="E10" s="138">
        <f t="shared" si="6"/>
        <v>0</v>
      </c>
      <c r="F10" s="139">
        <f t="shared" si="2"/>
        <v>0</v>
      </c>
      <c r="G10" s="303">
        <f t="shared" si="3"/>
        <v>0</v>
      </c>
      <c r="I10" s="284" t="s">
        <v>50</v>
      </c>
      <c r="J10" s="285" t="s">
        <v>54</v>
      </c>
      <c r="L10" s="79">
        <f t="shared" si="0"/>
        <v>2.5</v>
      </c>
      <c r="M10" s="155">
        <f t="shared" si="1"/>
        <v>931.21</v>
      </c>
      <c r="N10" s="156">
        <f t="shared" si="4"/>
        <v>4831.25</v>
      </c>
      <c r="P10" s="98" t="s">
        <v>95</v>
      </c>
      <c r="Q10" s="99">
        <f>1/3</f>
        <v>0.33333333333333331</v>
      </c>
      <c r="S10" s="500"/>
      <c r="T10" s="501"/>
      <c r="U10" s="501"/>
      <c r="V10" s="501"/>
      <c r="W10" s="501"/>
      <c r="X10" s="501"/>
      <c r="Y10" s="502"/>
    </row>
    <row r="11" spans="2:25" ht="15" customHeight="1" x14ac:dyDescent="0.2">
      <c r="B11" s="128">
        <v>2026</v>
      </c>
      <c r="C11" s="127"/>
      <c r="D11" s="137" t="str">
        <f t="shared" si="5"/>
        <v>-</v>
      </c>
      <c r="E11" s="138">
        <f t="shared" si="6"/>
        <v>0</v>
      </c>
      <c r="F11" s="139">
        <f t="shared" si="2"/>
        <v>0</v>
      </c>
      <c r="G11" s="303">
        <f t="shared" si="3"/>
        <v>0</v>
      </c>
      <c r="I11" s="81" t="s">
        <v>237</v>
      </c>
      <c r="J11" s="150">
        <v>1</v>
      </c>
      <c r="L11" s="79">
        <f t="shared" si="0"/>
        <v>3</v>
      </c>
      <c r="M11" s="155">
        <f t="shared" si="1"/>
        <v>913.69</v>
      </c>
      <c r="N11" s="156">
        <f t="shared" si="4"/>
        <v>5744.9400000000005</v>
      </c>
      <c r="P11" s="98" t="s">
        <v>84</v>
      </c>
      <c r="Q11" s="99">
        <v>0.25</v>
      </c>
      <c r="S11" s="500"/>
      <c r="T11" s="501"/>
      <c r="U11" s="501"/>
      <c r="V11" s="501"/>
      <c r="W11" s="501"/>
      <c r="X11" s="501"/>
      <c r="Y11" s="502"/>
    </row>
    <row r="12" spans="2:25" ht="15" customHeight="1" x14ac:dyDescent="0.2">
      <c r="B12" s="128">
        <v>2027</v>
      </c>
      <c r="C12" s="127"/>
      <c r="D12" s="137" t="str">
        <f t="shared" si="5"/>
        <v>-</v>
      </c>
      <c r="E12" s="138">
        <f t="shared" si="6"/>
        <v>0</v>
      </c>
      <c r="F12" s="139">
        <f t="shared" si="2"/>
        <v>0</v>
      </c>
      <c r="G12" s="303">
        <f t="shared" si="3"/>
        <v>0</v>
      </c>
      <c r="I12" s="297" t="s">
        <v>238</v>
      </c>
      <c r="J12" s="299">
        <v>0.9</v>
      </c>
      <c r="L12" s="79">
        <f t="shared" si="0"/>
        <v>3.5</v>
      </c>
      <c r="M12" s="155">
        <f t="shared" si="1"/>
        <v>896.17000000000007</v>
      </c>
      <c r="N12" s="156">
        <f t="shared" si="4"/>
        <v>6641.1100000000006</v>
      </c>
      <c r="P12" s="100" t="s">
        <v>85</v>
      </c>
      <c r="Q12" s="99">
        <v>0.9</v>
      </c>
      <c r="S12" s="500"/>
      <c r="T12" s="501"/>
      <c r="U12" s="501"/>
      <c r="V12" s="501"/>
      <c r="W12" s="501"/>
      <c r="X12" s="501"/>
      <c r="Y12" s="502"/>
    </row>
    <row r="13" spans="2:25" ht="15" customHeight="1" thickBot="1" x14ac:dyDescent="0.25">
      <c r="B13" s="128">
        <v>2028</v>
      </c>
      <c r="C13" s="127"/>
      <c r="D13" s="137" t="str">
        <f t="shared" si="5"/>
        <v>-</v>
      </c>
      <c r="E13" s="138">
        <f t="shared" si="6"/>
        <v>0</v>
      </c>
      <c r="F13" s="139">
        <f t="shared" si="2"/>
        <v>0</v>
      </c>
      <c r="G13" s="303">
        <f t="shared" si="3"/>
        <v>0</v>
      </c>
      <c r="I13" s="82" t="s">
        <v>246</v>
      </c>
      <c r="J13" s="298">
        <v>0.7</v>
      </c>
      <c r="L13" s="79">
        <f t="shared" si="0"/>
        <v>4</v>
      </c>
      <c r="M13" s="155">
        <f t="shared" si="1"/>
        <v>878.65000000000009</v>
      </c>
      <c r="N13" s="156">
        <f t="shared" si="4"/>
        <v>7519.76</v>
      </c>
      <c r="P13" s="100" t="s">
        <v>86</v>
      </c>
      <c r="Q13" s="99">
        <v>0.8</v>
      </c>
      <c r="S13" s="500"/>
      <c r="T13" s="501"/>
      <c r="U13" s="501"/>
      <c r="V13" s="501"/>
      <c r="W13" s="501"/>
      <c r="X13" s="501"/>
      <c r="Y13" s="502"/>
    </row>
    <row r="14" spans="2:25" ht="14.5" customHeight="1" thickBot="1" x14ac:dyDescent="0.25">
      <c r="B14" s="128">
        <v>2029</v>
      </c>
      <c r="C14" s="127"/>
      <c r="D14" s="137" t="str">
        <f t="shared" si="5"/>
        <v>-</v>
      </c>
      <c r="E14" s="138">
        <f t="shared" si="6"/>
        <v>0</v>
      </c>
      <c r="F14" s="139">
        <f t="shared" si="2"/>
        <v>0</v>
      </c>
      <c r="G14" s="303">
        <f t="shared" si="3"/>
        <v>0</v>
      </c>
      <c r="L14" s="79">
        <f t="shared" si="0"/>
        <v>4.5</v>
      </c>
      <c r="M14" s="155">
        <f t="shared" si="1"/>
        <v>861.13000000000011</v>
      </c>
      <c r="N14" s="156">
        <f t="shared" si="4"/>
        <v>8380.89</v>
      </c>
      <c r="P14" s="100" t="s">
        <v>87</v>
      </c>
      <c r="Q14" s="99">
        <v>0.7</v>
      </c>
      <c r="S14" s="500"/>
      <c r="T14" s="501"/>
      <c r="U14" s="501"/>
      <c r="V14" s="501"/>
      <c r="W14" s="501"/>
      <c r="X14" s="501"/>
      <c r="Y14" s="502"/>
    </row>
    <row r="15" spans="2:25" ht="15" customHeight="1" x14ac:dyDescent="0.2">
      <c r="B15" s="128">
        <v>2030</v>
      </c>
      <c r="C15" s="127"/>
      <c r="D15" s="137" t="str">
        <f t="shared" si="5"/>
        <v>-</v>
      </c>
      <c r="E15" s="138">
        <f t="shared" si="6"/>
        <v>0</v>
      </c>
      <c r="F15" s="139">
        <f t="shared" si="2"/>
        <v>0</v>
      </c>
      <c r="G15" s="303">
        <f t="shared" si="3"/>
        <v>0</v>
      </c>
      <c r="I15" s="73" t="s">
        <v>123</v>
      </c>
      <c r="J15" s="74"/>
      <c r="L15" s="79">
        <f t="shared" si="0"/>
        <v>5</v>
      </c>
      <c r="M15" s="155">
        <f t="shared" si="1"/>
        <v>843.61000000000013</v>
      </c>
      <c r="N15" s="156">
        <f t="shared" si="4"/>
        <v>9224.5</v>
      </c>
      <c r="P15" s="100" t="s">
        <v>88</v>
      </c>
      <c r="Q15" s="99">
        <v>0.6</v>
      </c>
      <c r="S15" s="500"/>
      <c r="T15" s="501"/>
      <c r="U15" s="501"/>
      <c r="V15" s="501"/>
      <c r="W15" s="501"/>
      <c r="X15" s="501"/>
      <c r="Y15" s="502"/>
    </row>
    <row r="16" spans="2:25" ht="14.5" customHeight="1" x14ac:dyDescent="0.2">
      <c r="B16" s="128">
        <v>2031</v>
      </c>
      <c r="C16" s="127"/>
      <c r="D16" s="137" t="str">
        <f t="shared" si="5"/>
        <v>-</v>
      </c>
      <c r="E16" s="138">
        <f t="shared" si="6"/>
        <v>0</v>
      </c>
      <c r="F16" s="139">
        <f t="shared" si="2"/>
        <v>0</v>
      </c>
      <c r="G16" s="303">
        <f t="shared" si="3"/>
        <v>0</v>
      </c>
      <c r="I16" s="83" t="s">
        <v>50</v>
      </c>
      <c r="J16" s="84" t="s">
        <v>54</v>
      </c>
      <c r="L16" s="79">
        <f t="shared" si="0"/>
        <v>5.5</v>
      </c>
      <c r="M16" s="155">
        <f t="shared" si="1"/>
        <v>826.09000000000015</v>
      </c>
      <c r="N16" s="156">
        <f t="shared" si="4"/>
        <v>10050.59</v>
      </c>
      <c r="P16" s="100" t="s">
        <v>89</v>
      </c>
      <c r="Q16" s="99">
        <v>0.5</v>
      </c>
      <c r="S16" s="500"/>
      <c r="T16" s="501"/>
      <c r="U16" s="501"/>
      <c r="V16" s="501"/>
      <c r="W16" s="501"/>
      <c r="X16" s="501"/>
      <c r="Y16" s="502"/>
    </row>
    <row r="17" spans="2:25" ht="15" customHeight="1" x14ac:dyDescent="0.2">
      <c r="B17" s="128">
        <v>2032</v>
      </c>
      <c r="C17" s="127"/>
      <c r="D17" s="137" t="str">
        <f t="shared" si="5"/>
        <v>-</v>
      </c>
      <c r="E17" s="138">
        <f t="shared" si="6"/>
        <v>0</v>
      </c>
      <c r="F17" s="139">
        <f t="shared" si="2"/>
        <v>0</v>
      </c>
      <c r="G17" s="303">
        <f t="shared" si="3"/>
        <v>0</v>
      </c>
      <c r="I17" s="81" t="s">
        <v>51</v>
      </c>
      <c r="J17" s="153">
        <v>0</v>
      </c>
      <c r="L17" s="79">
        <f t="shared" si="0"/>
        <v>6</v>
      </c>
      <c r="M17" s="155">
        <f t="shared" si="1"/>
        <v>808.57000000000016</v>
      </c>
      <c r="N17" s="156">
        <f t="shared" si="4"/>
        <v>10859.16</v>
      </c>
      <c r="P17" s="100" t="s">
        <v>90</v>
      </c>
      <c r="Q17" s="99">
        <v>0.4</v>
      </c>
      <c r="S17" s="500"/>
      <c r="T17" s="501"/>
      <c r="U17" s="501"/>
      <c r="V17" s="501"/>
      <c r="W17" s="501"/>
      <c r="X17" s="501"/>
      <c r="Y17" s="502"/>
    </row>
    <row r="18" spans="2:25" ht="15" customHeight="1" x14ac:dyDescent="0.2">
      <c r="B18" s="128">
        <v>2033</v>
      </c>
      <c r="C18" s="127"/>
      <c r="D18" s="137" t="str">
        <f t="shared" si="5"/>
        <v>-</v>
      </c>
      <c r="E18" s="138">
        <f t="shared" si="6"/>
        <v>0</v>
      </c>
      <c r="F18" s="139">
        <f t="shared" si="2"/>
        <v>0</v>
      </c>
      <c r="G18" s="303">
        <f t="shared" si="3"/>
        <v>0</v>
      </c>
      <c r="I18" s="81" t="s">
        <v>52</v>
      </c>
      <c r="J18" s="151">
        <f>1500*(1+J6)</f>
        <v>1716.49368</v>
      </c>
      <c r="L18" s="79">
        <f t="shared" si="0"/>
        <v>6.5</v>
      </c>
      <c r="M18" s="155">
        <f t="shared" si="1"/>
        <v>791.05000000000018</v>
      </c>
      <c r="N18" s="156">
        <f t="shared" si="4"/>
        <v>11650.21</v>
      </c>
      <c r="P18" s="100" t="s">
        <v>91</v>
      </c>
      <c r="Q18" s="99">
        <v>0.3</v>
      </c>
      <c r="S18" s="500"/>
      <c r="T18" s="501"/>
      <c r="U18" s="501"/>
      <c r="V18" s="501"/>
      <c r="W18" s="501"/>
      <c r="X18" s="501"/>
      <c r="Y18" s="502"/>
    </row>
    <row r="19" spans="2:25" ht="15" customHeight="1" thickBot="1" x14ac:dyDescent="0.25">
      <c r="B19" s="128">
        <v>2034</v>
      </c>
      <c r="C19" s="127"/>
      <c r="D19" s="137" t="str">
        <f t="shared" si="5"/>
        <v>-</v>
      </c>
      <c r="E19" s="138">
        <f t="shared" si="6"/>
        <v>0</v>
      </c>
      <c r="F19" s="139">
        <f t="shared" si="2"/>
        <v>0</v>
      </c>
      <c r="G19" s="303">
        <f t="shared" si="3"/>
        <v>0</v>
      </c>
      <c r="I19" s="82" t="s">
        <v>53</v>
      </c>
      <c r="J19" s="152">
        <f>J18*2</f>
        <v>3432.9873600000001</v>
      </c>
      <c r="L19" s="79">
        <f t="shared" si="0"/>
        <v>7</v>
      </c>
      <c r="M19" s="155">
        <f t="shared" si="1"/>
        <v>773.5300000000002</v>
      </c>
      <c r="N19" s="156">
        <f t="shared" si="4"/>
        <v>12423.74</v>
      </c>
      <c r="P19" s="100" t="s">
        <v>92</v>
      </c>
      <c r="Q19" s="99">
        <v>0.2</v>
      </c>
      <c r="S19" s="500"/>
      <c r="T19" s="501"/>
      <c r="U19" s="501"/>
      <c r="V19" s="501"/>
      <c r="W19" s="501"/>
      <c r="X19" s="501"/>
      <c r="Y19" s="502"/>
    </row>
    <row r="20" spans="2:25" ht="16" thickBot="1" x14ac:dyDescent="0.25">
      <c r="B20" s="128">
        <v>2035</v>
      </c>
      <c r="C20" s="127"/>
      <c r="D20" s="137" t="str">
        <f t="shared" si="5"/>
        <v>-</v>
      </c>
      <c r="E20" s="138">
        <f t="shared" si="6"/>
        <v>0</v>
      </c>
      <c r="F20" s="139">
        <f t="shared" si="2"/>
        <v>0</v>
      </c>
      <c r="G20" s="303">
        <f t="shared" si="3"/>
        <v>0</v>
      </c>
      <c r="I20" s="265" t="str">
        <f>"Zillow median for "&amp;J4</f>
        <v>Zillow median for 2024</v>
      </c>
      <c r="J20" s="268">
        <f>VLOOKUP(J4-1,$B$37:$E$48,4,FALSE)</f>
        <v>226367.5</v>
      </c>
      <c r="L20" s="79">
        <f t="shared" si="0"/>
        <v>7.5</v>
      </c>
      <c r="M20" s="155">
        <f t="shared" si="1"/>
        <v>756.01000000000022</v>
      </c>
      <c r="N20" s="156">
        <f t="shared" si="4"/>
        <v>13179.75</v>
      </c>
      <c r="P20" s="101" t="s">
        <v>93</v>
      </c>
      <c r="Q20" s="102">
        <v>0.1</v>
      </c>
      <c r="S20" s="503"/>
      <c r="T20" s="504"/>
      <c r="U20" s="504"/>
      <c r="V20" s="504"/>
      <c r="W20" s="504"/>
      <c r="X20" s="504"/>
      <c r="Y20" s="505"/>
    </row>
    <row r="21" spans="2:25" ht="16" thickBot="1" x14ac:dyDescent="0.25">
      <c r="B21" s="128">
        <v>2036</v>
      </c>
      <c r="C21" s="127"/>
      <c r="D21" s="137" t="str">
        <f t="shared" si="5"/>
        <v>-</v>
      </c>
      <c r="E21" s="138">
        <f t="shared" si="6"/>
        <v>0</v>
      </c>
      <c r="F21" s="139">
        <f t="shared" si="2"/>
        <v>0</v>
      </c>
      <c r="G21" s="303">
        <f t="shared" si="3"/>
        <v>0</v>
      </c>
      <c r="L21" s="79">
        <f t="shared" si="0"/>
        <v>8</v>
      </c>
      <c r="M21" s="155">
        <f t="shared" si="1"/>
        <v>738.49000000000024</v>
      </c>
      <c r="N21" s="156">
        <f t="shared" si="4"/>
        <v>13918.24</v>
      </c>
    </row>
    <row r="22" spans="2:25" x14ac:dyDescent="0.2">
      <c r="B22" s="128">
        <v>2037</v>
      </c>
      <c r="C22" s="127"/>
      <c r="D22" s="137" t="str">
        <f t="shared" si="5"/>
        <v>-</v>
      </c>
      <c r="E22" s="138">
        <f t="shared" si="6"/>
        <v>0</v>
      </c>
      <c r="F22" s="139">
        <f t="shared" si="2"/>
        <v>0</v>
      </c>
      <c r="G22" s="303">
        <f t="shared" si="3"/>
        <v>0</v>
      </c>
      <c r="I22" s="73" t="s">
        <v>130</v>
      </c>
      <c r="J22" s="74"/>
      <c r="L22" s="79">
        <f t="shared" si="0"/>
        <v>8.5</v>
      </c>
      <c r="M22" s="155">
        <f t="shared" si="1"/>
        <v>720.97000000000025</v>
      </c>
      <c r="N22" s="156">
        <f t="shared" si="4"/>
        <v>14639.21</v>
      </c>
    </row>
    <row r="23" spans="2:25" x14ac:dyDescent="0.2">
      <c r="B23" s="128">
        <v>2038</v>
      </c>
      <c r="C23" s="127"/>
      <c r="D23" s="137" t="str">
        <f t="shared" si="5"/>
        <v>-</v>
      </c>
      <c r="E23" s="138">
        <f t="shared" si="6"/>
        <v>0</v>
      </c>
      <c r="F23" s="139">
        <f t="shared" si="2"/>
        <v>0</v>
      </c>
      <c r="G23" s="303">
        <f t="shared" si="3"/>
        <v>0</v>
      </c>
      <c r="I23" s="83" t="s">
        <v>50</v>
      </c>
      <c r="J23" s="84" t="s">
        <v>54</v>
      </c>
      <c r="L23" s="79">
        <f t="shared" si="0"/>
        <v>9</v>
      </c>
      <c r="M23" s="155">
        <f t="shared" si="1"/>
        <v>703.45000000000027</v>
      </c>
      <c r="N23" s="156">
        <f t="shared" si="4"/>
        <v>15342.66</v>
      </c>
      <c r="P23" s="88"/>
      <c r="Q23" s="90" t="s">
        <v>79</v>
      </c>
    </row>
    <row r="24" spans="2:25" ht="14.5" customHeight="1" x14ac:dyDescent="0.2">
      <c r="B24" s="128">
        <v>2039</v>
      </c>
      <c r="C24" s="127"/>
      <c r="D24" s="137" t="str">
        <f t="shared" si="5"/>
        <v>-</v>
      </c>
      <c r="E24" s="138">
        <f t="shared" si="6"/>
        <v>0</v>
      </c>
      <c r="F24" s="139">
        <f t="shared" si="2"/>
        <v>0</v>
      </c>
      <c r="G24" s="303">
        <f t="shared" si="3"/>
        <v>0</v>
      </c>
      <c r="I24" s="81" t="s">
        <v>55</v>
      </c>
      <c r="J24" s="85">
        <v>3</v>
      </c>
      <c r="L24" s="79">
        <f t="shared" si="0"/>
        <v>9.5</v>
      </c>
      <c r="M24" s="155">
        <f t="shared" si="1"/>
        <v>685.93000000000029</v>
      </c>
      <c r="N24" s="156">
        <f t="shared" si="4"/>
        <v>16028.59</v>
      </c>
      <c r="Q24" s="89" t="s">
        <v>76</v>
      </c>
    </row>
    <row r="25" spans="2:25" ht="16" thickBot="1" x14ac:dyDescent="0.25">
      <c r="B25" s="129">
        <v>2040</v>
      </c>
      <c r="C25" s="130"/>
      <c r="D25" s="140" t="str">
        <f t="shared" si="5"/>
        <v>-</v>
      </c>
      <c r="E25" s="141">
        <f t="shared" si="6"/>
        <v>0</v>
      </c>
      <c r="F25" s="142">
        <f t="shared" si="2"/>
        <v>0</v>
      </c>
      <c r="G25" s="304">
        <f t="shared" si="3"/>
        <v>0</v>
      </c>
      <c r="I25" s="82" t="s">
        <v>56</v>
      </c>
      <c r="J25" s="86">
        <v>0</v>
      </c>
      <c r="L25" s="79">
        <f t="shared" si="0"/>
        <v>10</v>
      </c>
      <c r="M25" s="155">
        <f t="shared" si="1"/>
        <v>668.41000000000031</v>
      </c>
      <c r="N25" s="156">
        <f t="shared" si="4"/>
        <v>16697</v>
      </c>
    </row>
    <row r="26" spans="2:25" ht="16" thickBot="1" x14ac:dyDescent="0.25">
      <c r="B26" s="122"/>
      <c r="C26" s="171"/>
      <c r="D26" s="512" t="s">
        <v>284</v>
      </c>
      <c r="E26" s="513"/>
      <c r="F26" s="513"/>
      <c r="G26" s="317">
        <f>ROUND(VLOOKUP(J4,B6:G25,6,FALSE)/3/5,0)*5</f>
        <v>55</v>
      </c>
      <c r="L26" s="79">
        <f t="shared" si="0"/>
        <v>10.5</v>
      </c>
      <c r="M26" s="155">
        <f t="shared" si="1"/>
        <v>650.89000000000033</v>
      </c>
      <c r="N26" s="156">
        <f t="shared" si="4"/>
        <v>17347.89</v>
      </c>
      <c r="P26" s="91"/>
      <c r="Q26" s="90" t="s">
        <v>77</v>
      </c>
    </row>
    <row r="27" spans="2:25" ht="15" customHeight="1" thickBot="1" x14ac:dyDescent="0.25">
      <c r="I27" s="73" t="s">
        <v>283</v>
      </c>
      <c r="J27" s="74"/>
      <c r="L27" s="79">
        <f t="shared" si="0"/>
        <v>11</v>
      </c>
      <c r="M27" s="155">
        <f t="shared" si="1"/>
        <v>633.37000000000035</v>
      </c>
      <c r="N27" s="156">
        <f t="shared" si="4"/>
        <v>17981.259999999998</v>
      </c>
      <c r="Q27" s="89" t="s">
        <v>76</v>
      </c>
    </row>
    <row r="28" spans="2:25" ht="15.5" customHeight="1" x14ac:dyDescent="0.2">
      <c r="B28" s="485" t="s">
        <v>239</v>
      </c>
      <c r="C28" s="486"/>
      <c r="D28" s="486"/>
      <c r="E28" s="486"/>
      <c r="F28" s="487"/>
      <c r="G28" s="300"/>
      <c r="I28" s="510" t="s">
        <v>129</v>
      </c>
      <c r="J28" s="161"/>
      <c r="L28" s="79">
        <f t="shared" si="0"/>
        <v>11.5</v>
      </c>
      <c r="M28" s="155">
        <f t="shared" si="1"/>
        <v>615.85000000000036</v>
      </c>
      <c r="N28" s="156">
        <f t="shared" si="4"/>
        <v>18597.11</v>
      </c>
    </row>
    <row r="29" spans="2:25" ht="16" thickBot="1" x14ac:dyDescent="0.25">
      <c r="B29" s="488"/>
      <c r="C29" s="489"/>
      <c r="D29" s="489"/>
      <c r="E29" s="489"/>
      <c r="F29" s="490"/>
      <c r="G29" s="300"/>
      <c r="I29" s="511"/>
      <c r="J29" s="162">
        <v>0.3</v>
      </c>
      <c r="L29" s="79">
        <f t="shared" si="0"/>
        <v>12</v>
      </c>
      <c r="M29" s="155">
        <f t="shared" si="1"/>
        <v>598.33000000000038</v>
      </c>
      <c r="N29" s="156">
        <f t="shared" si="4"/>
        <v>19195.440000000002</v>
      </c>
      <c r="P29" s="93"/>
      <c r="Q29" s="90" t="s">
        <v>80</v>
      </c>
    </row>
    <row r="30" spans="2:25" x14ac:dyDescent="0.2">
      <c r="B30" s="488"/>
      <c r="C30" s="489"/>
      <c r="D30" s="489"/>
      <c r="E30" s="489"/>
      <c r="F30" s="490"/>
      <c r="G30" s="300"/>
      <c r="I30" s="83" t="s">
        <v>50</v>
      </c>
      <c r="J30" s="84" t="s">
        <v>54</v>
      </c>
      <c r="L30" s="79">
        <f t="shared" si="0"/>
        <v>12.5</v>
      </c>
      <c r="M30" s="155">
        <f t="shared" si="1"/>
        <v>580.8100000000004</v>
      </c>
      <c r="N30" s="156">
        <f t="shared" si="4"/>
        <v>19776.250000000004</v>
      </c>
      <c r="Q30" s="89" t="s">
        <v>78</v>
      </c>
    </row>
    <row r="31" spans="2:25" x14ac:dyDescent="0.2">
      <c r="B31" s="488"/>
      <c r="C31" s="489"/>
      <c r="D31" s="489"/>
      <c r="E31" s="489"/>
      <c r="F31" s="490"/>
      <c r="G31" s="300"/>
      <c r="I31" s="81" t="s">
        <v>55</v>
      </c>
      <c r="J31" s="92" t="e">
        <f>'Ministry Leader'!E39*$J$29*(-1)</f>
        <v>#VALUE!</v>
      </c>
      <c r="L31" s="79">
        <f t="shared" si="0"/>
        <v>13</v>
      </c>
      <c r="M31" s="155">
        <f t="shared" si="1"/>
        <v>563.29000000000042</v>
      </c>
      <c r="N31" s="156">
        <f t="shared" si="4"/>
        <v>20339.540000000005</v>
      </c>
    </row>
    <row r="32" spans="2:25" ht="16" thickBot="1" x14ac:dyDescent="0.25">
      <c r="B32" s="163" t="s">
        <v>114</v>
      </c>
      <c r="C32" s="164"/>
      <c r="D32" s="165"/>
      <c r="E32" s="165"/>
      <c r="F32" s="166"/>
      <c r="G32" s="123"/>
      <c r="I32" s="82" t="s">
        <v>56</v>
      </c>
      <c r="J32" s="87">
        <v>0</v>
      </c>
      <c r="L32" s="79">
        <f t="shared" si="0"/>
        <v>13.5</v>
      </c>
      <c r="M32" s="155">
        <f t="shared" si="1"/>
        <v>545.77000000000044</v>
      </c>
      <c r="N32" s="156">
        <f t="shared" si="4"/>
        <v>20885.310000000005</v>
      </c>
    </row>
    <row r="33" spans="2:14" ht="16" thickBot="1" x14ac:dyDescent="0.25">
      <c r="B33" s="122"/>
      <c r="C33" s="171"/>
      <c r="D33" s="171"/>
      <c r="E33" s="172"/>
      <c r="F33" s="172"/>
      <c r="G33" s="172"/>
      <c r="L33" s="79">
        <f t="shared" si="0"/>
        <v>14</v>
      </c>
      <c r="M33" s="155">
        <f t="shared" si="1"/>
        <v>528.25000000000045</v>
      </c>
      <c r="N33" s="156">
        <f t="shared" si="4"/>
        <v>21413.560000000005</v>
      </c>
    </row>
    <row r="34" spans="2:14" x14ac:dyDescent="0.2">
      <c r="B34" s="262" t="s">
        <v>235</v>
      </c>
      <c r="C34" s="145" t="s">
        <v>115</v>
      </c>
      <c r="D34" s="123"/>
      <c r="E34" s="123"/>
      <c r="F34" s="123"/>
      <c r="G34" s="123"/>
      <c r="I34" s="73" t="s">
        <v>126</v>
      </c>
      <c r="J34" s="74"/>
      <c r="L34" s="79">
        <f t="shared" si="0"/>
        <v>14.5</v>
      </c>
      <c r="M34" s="155">
        <f t="shared" si="1"/>
        <v>510.73000000000047</v>
      </c>
      <c r="N34" s="156">
        <f t="shared" si="4"/>
        <v>21924.290000000005</v>
      </c>
    </row>
    <row r="35" spans="2:14" ht="16" thickBot="1" x14ac:dyDescent="0.25">
      <c r="I35" s="148" t="s">
        <v>128</v>
      </c>
      <c r="J35" s="149">
        <v>875</v>
      </c>
      <c r="L35" s="79">
        <f t="shared" si="0"/>
        <v>15</v>
      </c>
      <c r="M35" s="155">
        <f t="shared" si="1"/>
        <v>493.21000000000049</v>
      </c>
      <c r="N35" s="156">
        <f t="shared" si="4"/>
        <v>22417.500000000004</v>
      </c>
    </row>
    <row r="36" spans="2:14" ht="16" thickBot="1" x14ac:dyDescent="0.25">
      <c r="B36" s="274" t="s">
        <v>231</v>
      </c>
      <c r="C36" s="263" t="s">
        <v>131</v>
      </c>
      <c r="D36" s="263" t="s">
        <v>132</v>
      </c>
      <c r="E36" s="264" t="s">
        <v>227</v>
      </c>
      <c r="F36" s="123"/>
      <c r="G36" s="123"/>
      <c r="I36" s="146" t="str">
        <f>"0.5 value for "&amp;$J$4</f>
        <v>0.5 value for 2024</v>
      </c>
      <c r="J36" s="150">
        <f>ROUND(J35*(1+J6),2)</f>
        <v>1001.29</v>
      </c>
      <c r="L36" s="79">
        <f t="shared" si="0"/>
        <v>15.5</v>
      </c>
      <c r="M36" s="155">
        <f t="shared" si="1"/>
        <v>475.69000000000051</v>
      </c>
      <c r="N36" s="156">
        <f t="shared" si="4"/>
        <v>22893.190000000002</v>
      </c>
    </row>
    <row r="37" spans="2:14" x14ac:dyDescent="0.2">
      <c r="B37" s="261">
        <v>2021</v>
      </c>
      <c r="C37" s="270">
        <v>184000</v>
      </c>
      <c r="D37" s="270">
        <v>171000</v>
      </c>
      <c r="E37" s="266">
        <f>(C37+D37)/2</f>
        <v>177500</v>
      </c>
      <c r="F37" s="123"/>
      <c r="G37" s="123"/>
      <c r="I37" s="146" t="str">
        <f>"25+ value for "&amp;$J$4</f>
        <v>25+ value for 2024</v>
      </c>
      <c r="J37" s="151">
        <f>ROUND(125*(1+J6),2)</f>
        <v>143.04</v>
      </c>
      <c r="L37" s="79">
        <f t="shared" si="0"/>
        <v>16</v>
      </c>
      <c r="M37" s="155">
        <f t="shared" si="1"/>
        <v>458.17000000000053</v>
      </c>
      <c r="N37" s="156">
        <f t="shared" si="4"/>
        <v>23351.360000000004</v>
      </c>
    </row>
    <row r="38" spans="2:14" ht="16" thickBot="1" x14ac:dyDescent="0.25">
      <c r="B38" s="128">
        <v>2022</v>
      </c>
      <c r="C38" s="271">
        <v>214000</v>
      </c>
      <c r="D38" s="271">
        <v>196000</v>
      </c>
      <c r="E38" s="267">
        <f t="shared" ref="E38:E48" si="7">(C38+D38)/2</f>
        <v>205000</v>
      </c>
      <c r="I38" s="147" t="s">
        <v>127</v>
      </c>
      <c r="J38" s="152">
        <f>ROUND((J36-J37)/49,2)</f>
        <v>17.52</v>
      </c>
      <c r="L38" s="79">
        <f t="shared" si="0"/>
        <v>16.5</v>
      </c>
      <c r="M38" s="155">
        <f t="shared" si="1"/>
        <v>440.65000000000055</v>
      </c>
      <c r="N38" s="156">
        <f t="shared" si="4"/>
        <v>23792.010000000006</v>
      </c>
    </row>
    <row r="39" spans="2:14" ht="14.5" customHeight="1" thickBot="1" x14ac:dyDescent="0.25">
      <c r="B39" s="128">
        <v>2023</v>
      </c>
      <c r="C39" s="271">
        <v>236860</v>
      </c>
      <c r="D39" s="271">
        <v>215875</v>
      </c>
      <c r="E39" s="267">
        <f t="shared" si="7"/>
        <v>226367.5</v>
      </c>
      <c r="L39" s="79">
        <f t="shared" si="0"/>
        <v>17</v>
      </c>
      <c r="M39" s="155">
        <f t="shared" ref="M39:M70" si="8">IF(L39&lt;25,M38-$J$38,$J$37)</f>
        <v>423.13000000000056</v>
      </c>
      <c r="N39" s="156">
        <f t="shared" si="4"/>
        <v>24215.140000000007</v>
      </c>
    </row>
    <row r="40" spans="2:14" x14ac:dyDescent="0.2">
      <c r="B40" s="128">
        <v>2024</v>
      </c>
      <c r="C40" s="271"/>
      <c r="D40" s="271"/>
      <c r="E40" s="267">
        <f t="shared" si="7"/>
        <v>0</v>
      </c>
      <c r="I40" s="73" t="s">
        <v>208</v>
      </c>
      <c r="J40" s="74"/>
      <c r="L40" s="79">
        <f t="shared" si="0"/>
        <v>17.5</v>
      </c>
      <c r="M40" s="155">
        <f t="shared" si="8"/>
        <v>405.61000000000058</v>
      </c>
      <c r="N40" s="156">
        <f t="shared" si="4"/>
        <v>24620.750000000007</v>
      </c>
    </row>
    <row r="41" spans="2:14" x14ac:dyDescent="0.2">
      <c r="B41" s="128">
        <v>2025</v>
      </c>
      <c r="C41" s="271"/>
      <c r="D41" s="271"/>
      <c r="E41" s="267">
        <f t="shared" si="7"/>
        <v>0</v>
      </c>
      <c r="I41" s="173" t="s">
        <v>50</v>
      </c>
      <c r="J41" s="174"/>
      <c r="L41" s="79">
        <f t="shared" si="0"/>
        <v>18</v>
      </c>
      <c r="M41" s="155">
        <f t="shared" si="8"/>
        <v>388.0900000000006</v>
      </c>
      <c r="N41" s="156">
        <f t="shared" si="4"/>
        <v>25008.840000000007</v>
      </c>
    </row>
    <row r="42" spans="2:14" x14ac:dyDescent="0.2">
      <c r="B42" s="128">
        <v>2026</v>
      </c>
      <c r="C42" s="272"/>
      <c r="D42" s="272"/>
      <c r="E42" s="267">
        <f t="shared" si="7"/>
        <v>0</v>
      </c>
      <c r="I42" s="148" t="s">
        <v>210</v>
      </c>
      <c r="J42" s="175">
        <v>26</v>
      </c>
      <c r="L42" s="79">
        <f t="shared" si="0"/>
        <v>18.5</v>
      </c>
      <c r="M42" s="155">
        <f t="shared" si="8"/>
        <v>370.57000000000062</v>
      </c>
      <c r="N42" s="156">
        <f t="shared" si="4"/>
        <v>25379.410000000007</v>
      </c>
    </row>
    <row r="43" spans="2:14" x14ac:dyDescent="0.2">
      <c r="B43" s="128">
        <v>2027</v>
      </c>
      <c r="C43" s="272"/>
      <c r="D43" s="272"/>
      <c r="E43" s="267">
        <f t="shared" si="7"/>
        <v>0</v>
      </c>
      <c r="I43" s="148" t="s">
        <v>209</v>
      </c>
      <c r="J43" s="175">
        <v>24</v>
      </c>
      <c r="L43" s="79">
        <f t="shared" si="0"/>
        <v>19</v>
      </c>
      <c r="M43" s="155">
        <f t="shared" si="8"/>
        <v>353.05000000000064</v>
      </c>
      <c r="N43" s="156">
        <f t="shared" si="4"/>
        <v>25732.460000000006</v>
      </c>
    </row>
    <row r="44" spans="2:14" ht="16" thickBot="1" x14ac:dyDescent="0.25">
      <c r="B44" s="128">
        <v>2028</v>
      </c>
      <c r="C44" s="272"/>
      <c r="D44" s="272"/>
      <c r="E44" s="267">
        <f t="shared" si="7"/>
        <v>0</v>
      </c>
      <c r="I44" s="176" t="s">
        <v>212</v>
      </c>
      <c r="J44" s="177">
        <v>12</v>
      </c>
      <c r="L44" s="79">
        <f t="shared" si="0"/>
        <v>19.5</v>
      </c>
      <c r="M44" s="155">
        <f t="shared" si="8"/>
        <v>335.53000000000065</v>
      </c>
      <c r="N44" s="156">
        <f t="shared" si="4"/>
        <v>26067.990000000005</v>
      </c>
    </row>
    <row r="45" spans="2:14" ht="14.5" customHeight="1" thickBot="1" x14ac:dyDescent="0.25">
      <c r="B45" s="128">
        <v>2029</v>
      </c>
      <c r="C45" s="272"/>
      <c r="D45" s="272"/>
      <c r="E45" s="267">
        <f t="shared" si="7"/>
        <v>0</v>
      </c>
      <c r="L45" s="79">
        <f t="shared" si="0"/>
        <v>20</v>
      </c>
      <c r="M45" s="155">
        <f t="shared" si="8"/>
        <v>318.01000000000067</v>
      </c>
      <c r="N45" s="156">
        <f t="shared" si="4"/>
        <v>26386.000000000007</v>
      </c>
    </row>
    <row r="46" spans="2:14" x14ac:dyDescent="0.2">
      <c r="B46" s="128">
        <v>2030</v>
      </c>
      <c r="C46" s="272"/>
      <c r="D46" s="272"/>
      <c r="E46" s="267">
        <f t="shared" si="7"/>
        <v>0</v>
      </c>
      <c r="I46" s="73" t="s">
        <v>230</v>
      </c>
      <c r="J46" s="74"/>
      <c r="L46" s="79">
        <f t="shared" si="0"/>
        <v>20.5</v>
      </c>
      <c r="M46" s="155">
        <f t="shared" si="8"/>
        <v>300.49000000000069</v>
      </c>
      <c r="N46" s="156">
        <f t="shared" si="4"/>
        <v>26686.490000000009</v>
      </c>
    </row>
    <row r="47" spans="2:14" ht="16" thickBot="1" x14ac:dyDescent="0.25">
      <c r="B47" s="128">
        <v>2031</v>
      </c>
      <c r="C47" s="272"/>
      <c r="D47" s="272"/>
      <c r="E47" s="267">
        <f t="shared" si="7"/>
        <v>0</v>
      </c>
      <c r="I47" s="286" t="str">
        <f>CONCATENATE("In Box B, select the option that most closely matches the average local home prices and grocery costs in the area surrounding the congregation:
Below, near, or above the local median (currently, the Missouri/Kansas median home costs ",TEXT(J20,"$0,000"),").
[AMOUNT C = 0 or ",TEXT(J18,"$0,000.00")," or ",TEXT(J19,"$0,000.00"),"]")</f>
        <v>In Box B, select the option that most closely matches the average local home prices and grocery costs in the area surrounding the congregation:
Below, near, or above the local median (currently, the Missouri/Kansas median home costs $226,368).
[AMOUNT C = 0 or $1,716.49 or $3,432.99]</v>
      </c>
      <c r="J47" s="177"/>
      <c r="L47" s="79">
        <f t="shared" si="0"/>
        <v>21</v>
      </c>
      <c r="M47" s="155">
        <f t="shared" si="8"/>
        <v>282.97000000000071</v>
      </c>
      <c r="N47" s="156">
        <f t="shared" si="4"/>
        <v>26969.46000000001</v>
      </c>
    </row>
    <row r="48" spans="2:14" ht="16" thickBot="1" x14ac:dyDescent="0.25">
      <c r="B48" s="129">
        <v>2032</v>
      </c>
      <c r="C48" s="273"/>
      <c r="D48" s="273"/>
      <c r="E48" s="269">
        <f t="shared" si="7"/>
        <v>0</v>
      </c>
      <c r="L48" s="79">
        <f t="shared" si="0"/>
        <v>21.5</v>
      </c>
      <c r="M48" s="155">
        <f t="shared" si="8"/>
        <v>265.45000000000073</v>
      </c>
      <c r="N48" s="156">
        <f t="shared" si="4"/>
        <v>27234.910000000011</v>
      </c>
    </row>
    <row r="49" spans="2:14" ht="15" customHeight="1" x14ac:dyDescent="0.2">
      <c r="B49" s="262" t="s">
        <v>232</v>
      </c>
      <c r="C49" s="275" t="s">
        <v>226</v>
      </c>
      <c r="D49" s="275"/>
      <c r="E49" s="275"/>
      <c r="L49" s="79">
        <f t="shared" si="0"/>
        <v>22</v>
      </c>
      <c r="M49" s="155">
        <f t="shared" si="8"/>
        <v>247.93000000000072</v>
      </c>
      <c r="N49" s="156">
        <f t="shared" si="4"/>
        <v>27482.840000000011</v>
      </c>
    </row>
    <row r="50" spans="2:14" x14ac:dyDescent="0.2">
      <c r="B50" s="484" t="s">
        <v>242</v>
      </c>
      <c r="C50" s="484"/>
      <c r="D50" s="484"/>
      <c r="E50" s="484"/>
      <c r="L50" s="79">
        <f t="shared" si="0"/>
        <v>22.5</v>
      </c>
      <c r="M50" s="155">
        <f t="shared" si="8"/>
        <v>230.41000000000071</v>
      </c>
      <c r="N50" s="156">
        <f t="shared" si="4"/>
        <v>27713.250000000011</v>
      </c>
    </row>
    <row r="51" spans="2:14" x14ac:dyDescent="0.2">
      <c r="L51" s="79">
        <f t="shared" si="0"/>
        <v>23</v>
      </c>
      <c r="M51" s="155">
        <f t="shared" si="8"/>
        <v>212.8900000000007</v>
      </c>
      <c r="N51" s="156">
        <f t="shared" si="4"/>
        <v>27926.14000000001</v>
      </c>
    </row>
    <row r="52" spans="2:14" x14ac:dyDescent="0.2">
      <c r="L52" s="79">
        <f t="shared" si="0"/>
        <v>23.5</v>
      </c>
      <c r="M52" s="155">
        <f t="shared" si="8"/>
        <v>195.37000000000069</v>
      </c>
      <c r="N52" s="156">
        <f t="shared" si="4"/>
        <v>28121.510000000009</v>
      </c>
    </row>
    <row r="53" spans="2:14" x14ac:dyDescent="0.2">
      <c r="L53" s="79">
        <f t="shared" si="0"/>
        <v>24</v>
      </c>
      <c r="M53" s="155">
        <f t="shared" si="8"/>
        <v>177.85000000000068</v>
      </c>
      <c r="N53" s="156">
        <f t="shared" si="4"/>
        <v>28299.360000000011</v>
      </c>
    </row>
    <row r="54" spans="2:14" x14ac:dyDescent="0.2">
      <c r="L54" s="79">
        <f t="shared" si="0"/>
        <v>24.5</v>
      </c>
      <c r="M54" s="155">
        <f t="shared" si="8"/>
        <v>160.33000000000067</v>
      </c>
      <c r="N54" s="156">
        <f t="shared" si="4"/>
        <v>28459.690000000013</v>
      </c>
    </row>
    <row r="55" spans="2:14" x14ac:dyDescent="0.2">
      <c r="L55" s="79">
        <f t="shared" si="0"/>
        <v>25</v>
      </c>
      <c r="M55" s="155">
        <f t="shared" si="8"/>
        <v>143.04</v>
      </c>
      <c r="N55" s="156">
        <f t="shared" si="4"/>
        <v>28602.730000000014</v>
      </c>
    </row>
    <row r="56" spans="2:14" x14ac:dyDescent="0.2">
      <c r="L56" s="79">
        <f t="shared" si="0"/>
        <v>25.5</v>
      </c>
      <c r="M56" s="155">
        <f t="shared" si="8"/>
        <v>143.04</v>
      </c>
      <c r="N56" s="156">
        <f t="shared" si="4"/>
        <v>28745.770000000015</v>
      </c>
    </row>
    <row r="57" spans="2:14" x14ac:dyDescent="0.2">
      <c r="L57" s="79">
        <f t="shared" si="0"/>
        <v>26</v>
      </c>
      <c r="M57" s="155">
        <f t="shared" si="8"/>
        <v>143.04</v>
      </c>
      <c r="N57" s="156">
        <f t="shared" si="4"/>
        <v>28888.810000000016</v>
      </c>
    </row>
    <row r="58" spans="2:14" x14ac:dyDescent="0.2">
      <c r="L58" s="79">
        <f t="shared" si="0"/>
        <v>26.5</v>
      </c>
      <c r="M58" s="155">
        <f t="shared" si="8"/>
        <v>143.04</v>
      </c>
      <c r="N58" s="156">
        <f t="shared" si="4"/>
        <v>29031.850000000017</v>
      </c>
    </row>
    <row r="59" spans="2:14" x14ac:dyDescent="0.2">
      <c r="L59" s="79">
        <f t="shared" si="0"/>
        <v>27</v>
      </c>
      <c r="M59" s="155">
        <f t="shared" si="8"/>
        <v>143.04</v>
      </c>
      <c r="N59" s="156">
        <f t="shared" si="4"/>
        <v>29174.890000000018</v>
      </c>
    </row>
    <row r="60" spans="2:14" x14ac:dyDescent="0.2">
      <c r="L60" s="79">
        <f t="shared" si="0"/>
        <v>27.5</v>
      </c>
      <c r="M60" s="155">
        <f t="shared" si="8"/>
        <v>143.04</v>
      </c>
      <c r="N60" s="156">
        <f t="shared" si="4"/>
        <v>29317.930000000018</v>
      </c>
    </row>
    <row r="61" spans="2:14" x14ac:dyDescent="0.2">
      <c r="L61" s="79">
        <f t="shared" si="0"/>
        <v>28</v>
      </c>
      <c r="M61" s="155">
        <f t="shared" si="8"/>
        <v>143.04</v>
      </c>
      <c r="N61" s="156">
        <f t="shared" si="4"/>
        <v>29460.970000000019</v>
      </c>
    </row>
    <row r="62" spans="2:14" x14ac:dyDescent="0.2">
      <c r="L62" s="79">
        <f t="shared" si="0"/>
        <v>28.5</v>
      </c>
      <c r="M62" s="155">
        <f t="shared" si="8"/>
        <v>143.04</v>
      </c>
      <c r="N62" s="156">
        <f t="shared" si="4"/>
        <v>29604.01000000002</v>
      </c>
    </row>
    <row r="63" spans="2:14" x14ac:dyDescent="0.2">
      <c r="L63" s="79">
        <f t="shared" si="0"/>
        <v>29</v>
      </c>
      <c r="M63" s="155">
        <f t="shared" si="8"/>
        <v>143.04</v>
      </c>
      <c r="N63" s="156">
        <f t="shared" si="4"/>
        <v>29747.050000000021</v>
      </c>
    </row>
    <row r="64" spans="2:14" x14ac:dyDescent="0.2">
      <c r="L64" s="79">
        <f t="shared" si="0"/>
        <v>29.5</v>
      </c>
      <c r="M64" s="155">
        <f t="shared" si="8"/>
        <v>143.04</v>
      </c>
      <c r="N64" s="156">
        <f t="shared" si="4"/>
        <v>29890.090000000022</v>
      </c>
    </row>
    <row r="65" spans="3:14" x14ac:dyDescent="0.2">
      <c r="L65" s="79">
        <f t="shared" si="0"/>
        <v>30</v>
      </c>
      <c r="M65" s="155">
        <f t="shared" si="8"/>
        <v>143.04</v>
      </c>
      <c r="N65" s="156">
        <f t="shared" si="4"/>
        <v>30033.130000000023</v>
      </c>
    </row>
    <row r="66" spans="3:14" x14ac:dyDescent="0.2">
      <c r="L66" s="79">
        <f t="shared" si="0"/>
        <v>30.5</v>
      </c>
      <c r="M66" s="155">
        <f t="shared" si="8"/>
        <v>143.04</v>
      </c>
      <c r="N66" s="156">
        <f t="shared" si="4"/>
        <v>30176.170000000024</v>
      </c>
    </row>
    <row r="67" spans="3:14" x14ac:dyDescent="0.2">
      <c r="L67" s="79">
        <f t="shared" si="0"/>
        <v>31</v>
      </c>
      <c r="M67" s="155">
        <f t="shared" si="8"/>
        <v>143.04</v>
      </c>
      <c r="N67" s="156">
        <f t="shared" si="4"/>
        <v>30319.210000000025</v>
      </c>
    </row>
    <row r="68" spans="3:14" x14ac:dyDescent="0.2">
      <c r="L68" s="79">
        <f t="shared" si="0"/>
        <v>31.5</v>
      </c>
      <c r="M68" s="155">
        <f t="shared" si="8"/>
        <v>143.04</v>
      </c>
      <c r="N68" s="156">
        <f t="shared" si="4"/>
        <v>30462.250000000025</v>
      </c>
    </row>
    <row r="69" spans="3:14" x14ac:dyDescent="0.2">
      <c r="L69" s="79">
        <f t="shared" si="0"/>
        <v>32</v>
      </c>
      <c r="M69" s="155">
        <f t="shared" si="8"/>
        <v>143.04</v>
      </c>
      <c r="N69" s="156">
        <f t="shared" si="4"/>
        <v>30605.290000000026</v>
      </c>
    </row>
    <row r="70" spans="3:14" x14ac:dyDescent="0.2">
      <c r="L70" s="79">
        <f t="shared" si="0"/>
        <v>32.5</v>
      </c>
      <c r="M70" s="155">
        <f t="shared" si="8"/>
        <v>143.04</v>
      </c>
      <c r="N70" s="156">
        <f t="shared" si="4"/>
        <v>30748.330000000027</v>
      </c>
    </row>
    <row r="71" spans="3:14" x14ac:dyDescent="0.2">
      <c r="L71" s="79">
        <f t="shared" ref="L71:L134" si="9">L70+0.5</f>
        <v>33</v>
      </c>
      <c r="M71" s="155">
        <f t="shared" ref="M71:M102" si="10">IF(L71&lt;25,M70-$J$38,$J$37)</f>
        <v>143.04</v>
      </c>
      <c r="N71" s="156">
        <f t="shared" si="4"/>
        <v>30891.370000000028</v>
      </c>
    </row>
    <row r="72" spans="3:14" x14ac:dyDescent="0.2">
      <c r="L72" s="79">
        <f t="shared" si="9"/>
        <v>33.5</v>
      </c>
      <c r="M72" s="155">
        <f t="shared" si="10"/>
        <v>143.04</v>
      </c>
      <c r="N72" s="156">
        <f t="shared" ref="N72:N135" si="11">+M72+N71</f>
        <v>31034.410000000029</v>
      </c>
    </row>
    <row r="73" spans="3:14" x14ac:dyDescent="0.2">
      <c r="L73" s="79">
        <f t="shared" si="9"/>
        <v>34</v>
      </c>
      <c r="M73" s="155">
        <f t="shared" si="10"/>
        <v>143.04</v>
      </c>
      <c r="N73" s="156">
        <f t="shared" si="11"/>
        <v>31177.45000000003</v>
      </c>
    </row>
    <row r="74" spans="3:14" x14ac:dyDescent="0.2">
      <c r="L74" s="79">
        <f t="shared" si="9"/>
        <v>34.5</v>
      </c>
      <c r="M74" s="155">
        <f t="shared" si="10"/>
        <v>143.04</v>
      </c>
      <c r="N74" s="156">
        <f t="shared" si="11"/>
        <v>31320.490000000031</v>
      </c>
    </row>
    <row r="75" spans="3:14" x14ac:dyDescent="0.2">
      <c r="L75" s="79">
        <f t="shared" si="9"/>
        <v>35</v>
      </c>
      <c r="M75" s="155">
        <f t="shared" si="10"/>
        <v>143.04</v>
      </c>
      <c r="N75" s="156">
        <f t="shared" si="11"/>
        <v>31463.530000000032</v>
      </c>
    </row>
    <row r="76" spans="3:14" x14ac:dyDescent="0.2">
      <c r="L76" s="79">
        <f t="shared" si="9"/>
        <v>35.5</v>
      </c>
      <c r="M76" s="155">
        <f t="shared" si="10"/>
        <v>143.04</v>
      </c>
      <c r="N76" s="156">
        <f t="shared" si="11"/>
        <v>31606.570000000032</v>
      </c>
    </row>
    <row r="77" spans="3:14" x14ac:dyDescent="0.2">
      <c r="C77" s="123"/>
      <c r="D77" s="123"/>
      <c r="E77" s="123"/>
      <c r="F77" s="123"/>
      <c r="G77" s="123"/>
      <c r="L77" s="79">
        <f t="shared" si="9"/>
        <v>36</v>
      </c>
      <c r="M77" s="155">
        <f t="shared" si="10"/>
        <v>143.04</v>
      </c>
      <c r="N77" s="156">
        <f t="shared" si="11"/>
        <v>31749.610000000033</v>
      </c>
    </row>
    <row r="78" spans="3:14" x14ac:dyDescent="0.2">
      <c r="C78" s="123"/>
      <c r="D78" s="123"/>
      <c r="E78" s="123"/>
      <c r="F78" s="123"/>
      <c r="G78" s="123"/>
      <c r="L78" s="79">
        <f t="shared" si="9"/>
        <v>36.5</v>
      </c>
      <c r="M78" s="155">
        <f t="shared" si="10"/>
        <v>143.04</v>
      </c>
      <c r="N78" s="156">
        <f t="shared" si="11"/>
        <v>31892.650000000034</v>
      </c>
    </row>
    <row r="79" spans="3:14" x14ac:dyDescent="0.2">
      <c r="C79" s="123"/>
      <c r="D79" s="123"/>
      <c r="E79" s="123"/>
      <c r="F79" s="123"/>
      <c r="G79" s="123"/>
      <c r="L79" s="79">
        <f t="shared" si="9"/>
        <v>37</v>
      </c>
      <c r="M79" s="155">
        <f t="shared" si="10"/>
        <v>143.04</v>
      </c>
      <c r="N79" s="156">
        <f t="shared" si="11"/>
        <v>32035.690000000035</v>
      </c>
    </row>
    <row r="80" spans="3:14" x14ac:dyDescent="0.2">
      <c r="C80" s="123"/>
      <c r="D80" s="123"/>
      <c r="E80" s="123"/>
      <c r="F80" s="123"/>
      <c r="G80" s="123"/>
      <c r="L80" s="79">
        <f t="shared" si="9"/>
        <v>37.5</v>
      </c>
      <c r="M80" s="155">
        <f t="shared" si="10"/>
        <v>143.04</v>
      </c>
      <c r="N80" s="156">
        <f t="shared" si="11"/>
        <v>32178.730000000036</v>
      </c>
    </row>
    <row r="81" spans="3:14" x14ac:dyDescent="0.2">
      <c r="C81" s="123"/>
      <c r="D81" s="123"/>
      <c r="E81" s="123"/>
      <c r="F81" s="123"/>
      <c r="G81" s="123"/>
      <c r="L81" s="79">
        <f t="shared" si="9"/>
        <v>38</v>
      </c>
      <c r="M81" s="155">
        <f t="shared" si="10"/>
        <v>143.04</v>
      </c>
      <c r="N81" s="156">
        <f t="shared" si="11"/>
        <v>32321.770000000037</v>
      </c>
    </row>
    <row r="82" spans="3:14" x14ac:dyDescent="0.2">
      <c r="C82" s="123"/>
      <c r="D82" s="123"/>
      <c r="E82" s="123"/>
      <c r="F82" s="123"/>
      <c r="G82" s="123"/>
      <c r="L82" s="79">
        <f t="shared" si="9"/>
        <v>38.5</v>
      </c>
      <c r="M82" s="155">
        <f t="shared" si="10"/>
        <v>143.04</v>
      </c>
      <c r="N82" s="156">
        <f t="shared" si="11"/>
        <v>32464.810000000038</v>
      </c>
    </row>
    <row r="83" spans="3:14" x14ac:dyDescent="0.2">
      <c r="C83" s="123"/>
      <c r="D83" s="123"/>
      <c r="E83" s="123"/>
      <c r="F83" s="123"/>
      <c r="G83" s="123"/>
      <c r="L83" s="79">
        <f t="shared" si="9"/>
        <v>39</v>
      </c>
      <c r="M83" s="155">
        <f t="shared" si="10"/>
        <v>143.04</v>
      </c>
      <c r="N83" s="156">
        <f t="shared" si="11"/>
        <v>32607.850000000039</v>
      </c>
    </row>
    <row r="84" spans="3:14" x14ac:dyDescent="0.2">
      <c r="C84" s="123"/>
      <c r="D84" s="123"/>
      <c r="E84" s="123"/>
      <c r="F84" s="123"/>
      <c r="G84" s="123"/>
      <c r="L84" s="79">
        <f t="shared" si="9"/>
        <v>39.5</v>
      </c>
      <c r="M84" s="155">
        <f t="shared" si="10"/>
        <v>143.04</v>
      </c>
      <c r="N84" s="156">
        <f t="shared" si="11"/>
        <v>32750.890000000039</v>
      </c>
    </row>
    <row r="85" spans="3:14" x14ac:dyDescent="0.2">
      <c r="C85" s="123"/>
      <c r="D85" s="123"/>
      <c r="E85" s="123"/>
      <c r="F85" s="123"/>
      <c r="G85" s="123"/>
      <c r="L85" s="79">
        <f t="shared" si="9"/>
        <v>40</v>
      </c>
      <c r="M85" s="155">
        <f t="shared" si="10"/>
        <v>143.04</v>
      </c>
      <c r="N85" s="156">
        <f t="shared" si="11"/>
        <v>32893.930000000037</v>
      </c>
    </row>
    <row r="86" spans="3:14" x14ac:dyDescent="0.2">
      <c r="C86" s="123"/>
      <c r="D86" s="123"/>
      <c r="E86" s="123"/>
      <c r="F86" s="123"/>
      <c r="G86" s="123"/>
      <c r="L86" s="79">
        <f t="shared" si="9"/>
        <v>40.5</v>
      </c>
      <c r="M86" s="155">
        <f t="shared" si="10"/>
        <v>143.04</v>
      </c>
      <c r="N86" s="156">
        <f t="shared" si="11"/>
        <v>33036.970000000038</v>
      </c>
    </row>
    <row r="87" spans="3:14" x14ac:dyDescent="0.2">
      <c r="C87" s="123"/>
      <c r="D87" s="123"/>
      <c r="E87" s="123"/>
      <c r="F87" s="123"/>
      <c r="G87" s="123"/>
      <c r="L87" s="79">
        <f t="shared" si="9"/>
        <v>41</v>
      </c>
      <c r="M87" s="155">
        <f t="shared" si="10"/>
        <v>143.04</v>
      </c>
      <c r="N87" s="156">
        <f t="shared" si="11"/>
        <v>33180.010000000038</v>
      </c>
    </row>
    <row r="88" spans="3:14" x14ac:dyDescent="0.2">
      <c r="C88" s="123"/>
      <c r="D88" s="123"/>
      <c r="E88" s="123"/>
      <c r="F88" s="123"/>
      <c r="G88" s="123"/>
      <c r="L88" s="79">
        <f t="shared" si="9"/>
        <v>41.5</v>
      </c>
      <c r="M88" s="155">
        <f t="shared" si="10"/>
        <v>143.04</v>
      </c>
      <c r="N88" s="156">
        <f t="shared" si="11"/>
        <v>33323.050000000039</v>
      </c>
    </row>
    <row r="89" spans="3:14" x14ac:dyDescent="0.2">
      <c r="C89" s="123"/>
      <c r="D89" s="123"/>
      <c r="E89" s="123"/>
      <c r="F89" s="123"/>
      <c r="G89" s="123"/>
      <c r="L89" s="79">
        <f t="shared" si="9"/>
        <v>42</v>
      </c>
      <c r="M89" s="155">
        <f t="shared" si="10"/>
        <v>143.04</v>
      </c>
      <c r="N89" s="156">
        <f t="shared" si="11"/>
        <v>33466.09000000004</v>
      </c>
    </row>
    <row r="90" spans="3:14" x14ac:dyDescent="0.2">
      <c r="C90" s="123"/>
      <c r="D90" s="123"/>
      <c r="E90" s="123"/>
      <c r="F90" s="123"/>
      <c r="G90" s="123"/>
      <c r="L90" s="79">
        <f t="shared" si="9"/>
        <v>42.5</v>
      </c>
      <c r="M90" s="155">
        <f t="shared" si="10"/>
        <v>143.04</v>
      </c>
      <c r="N90" s="156">
        <f t="shared" si="11"/>
        <v>33609.130000000041</v>
      </c>
    </row>
    <row r="91" spans="3:14" x14ac:dyDescent="0.2">
      <c r="C91" s="123"/>
      <c r="D91" s="123"/>
      <c r="E91" s="123"/>
      <c r="F91" s="123"/>
      <c r="G91" s="123"/>
      <c r="L91" s="79">
        <f t="shared" si="9"/>
        <v>43</v>
      </c>
      <c r="M91" s="155">
        <f t="shared" si="10"/>
        <v>143.04</v>
      </c>
      <c r="N91" s="156">
        <f t="shared" si="11"/>
        <v>33752.170000000042</v>
      </c>
    </row>
    <row r="92" spans="3:14" x14ac:dyDescent="0.2">
      <c r="C92" s="123"/>
      <c r="D92" s="123"/>
      <c r="E92" s="123"/>
      <c r="F92" s="123"/>
      <c r="G92" s="123"/>
      <c r="L92" s="79">
        <f t="shared" si="9"/>
        <v>43.5</v>
      </c>
      <c r="M92" s="155">
        <f t="shared" si="10"/>
        <v>143.04</v>
      </c>
      <c r="N92" s="156">
        <f t="shared" si="11"/>
        <v>33895.210000000043</v>
      </c>
    </row>
    <row r="93" spans="3:14" x14ac:dyDescent="0.2">
      <c r="C93" s="123"/>
      <c r="D93" s="123"/>
      <c r="E93" s="123"/>
      <c r="F93" s="123"/>
      <c r="G93" s="123"/>
      <c r="L93" s="79">
        <f t="shared" si="9"/>
        <v>44</v>
      </c>
      <c r="M93" s="155">
        <f t="shared" si="10"/>
        <v>143.04</v>
      </c>
      <c r="N93" s="156">
        <f t="shared" si="11"/>
        <v>34038.250000000044</v>
      </c>
    </row>
    <row r="94" spans="3:14" x14ac:dyDescent="0.2">
      <c r="C94" s="123"/>
      <c r="D94" s="123"/>
      <c r="E94" s="123"/>
      <c r="F94" s="123"/>
      <c r="G94" s="123"/>
      <c r="L94" s="79">
        <f t="shared" si="9"/>
        <v>44.5</v>
      </c>
      <c r="M94" s="155">
        <f t="shared" si="10"/>
        <v>143.04</v>
      </c>
      <c r="N94" s="156">
        <f t="shared" si="11"/>
        <v>34181.290000000045</v>
      </c>
    </row>
    <row r="95" spans="3:14" x14ac:dyDescent="0.2">
      <c r="C95" s="123"/>
      <c r="D95" s="123"/>
      <c r="E95" s="123"/>
      <c r="F95" s="123"/>
      <c r="G95" s="123"/>
      <c r="L95" s="79">
        <f t="shared" si="9"/>
        <v>45</v>
      </c>
      <c r="M95" s="155">
        <f t="shared" si="10"/>
        <v>143.04</v>
      </c>
      <c r="N95" s="156">
        <f t="shared" si="11"/>
        <v>34324.330000000045</v>
      </c>
    </row>
    <row r="96" spans="3:14" x14ac:dyDescent="0.2">
      <c r="C96" s="123"/>
      <c r="D96" s="123"/>
      <c r="E96" s="123"/>
      <c r="F96" s="123"/>
      <c r="G96" s="123"/>
      <c r="L96" s="79">
        <f t="shared" si="9"/>
        <v>45.5</v>
      </c>
      <c r="M96" s="155">
        <f t="shared" si="10"/>
        <v>143.04</v>
      </c>
      <c r="N96" s="156">
        <f t="shared" si="11"/>
        <v>34467.370000000046</v>
      </c>
    </row>
    <row r="97" spans="3:14" x14ac:dyDescent="0.2">
      <c r="C97" s="123"/>
      <c r="D97" s="123"/>
      <c r="E97" s="123"/>
      <c r="F97" s="123"/>
      <c r="G97" s="123"/>
      <c r="L97" s="79">
        <f t="shared" si="9"/>
        <v>46</v>
      </c>
      <c r="M97" s="155">
        <f t="shared" si="10"/>
        <v>143.04</v>
      </c>
      <c r="N97" s="156">
        <f t="shared" si="11"/>
        <v>34610.410000000047</v>
      </c>
    </row>
    <row r="98" spans="3:14" x14ac:dyDescent="0.2">
      <c r="C98" s="123"/>
      <c r="D98" s="123"/>
      <c r="E98" s="123"/>
      <c r="F98" s="123"/>
      <c r="G98" s="123"/>
      <c r="L98" s="79">
        <f t="shared" si="9"/>
        <v>46.5</v>
      </c>
      <c r="M98" s="155">
        <f t="shared" si="10"/>
        <v>143.04</v>
      </c>
      <c r="N98" s="156">
        <f t="shared" si="11"/>
        <v>34753.450000000048</v>
      </c>
    </row>
    <row r="99" spans="3:14" x14ac:dyDescent="0.2">
      <c r="C99" s="123"/>
      <c r="D99" s="123"/>
      <c r="E99" s="123"/>
      <c r="F99" s="123"/>
      <c r="G99" s="123"/>
      <c r="L99" s="79">
        <f t="shared" si="9"/>
        <v>47</v>
      </c>
      <c r="M99" s="155">
        <f t="shared" si="10"/>
        <v>143.04</v>
      </c>
      <c r="N99" s="156">
        <f t="shared" si="11"/>
        <v>34896.490000000049</v>
      </c>
    </row>
    <row r="100" spans="3:14" x14ac:dyDescent="0.2">
      <c r="C100" s="123"/>
      <c r="D100" s="123"/>
      <c r="E100" s="123"/>
      <c r="F100" s="123"/>
      <c r="G100" s="123"/>
      <c r="L100" s="79">
        <f t="shared" si="9"/>
        <v>47.5</v>
      </c>
      <c r="M100" s="155">
        <f t="shared" si="10"/>
        <v>143.04</v>
      </c>
      <c r="N100" s="156">
        <f t="shared" si="11"/>
        <v>35039.53000000005</v>
      </c>
    </row>
    <row r="101" spans="3:14" x14ac:dyDescent="0.2">
      <c r="C101" s="123"/>
      <c r="D101" s="123"/>
      <c r="E101" s="123"/>
      <c r="F101" s="123"/>
      <c r="G101" s="123"/>
      <c r="L101" s="79">
        <f t="shared" si="9"/>
        <v>48</v>
      </c>
      <c r="M101" s="155">
        <f t="shared" si="10"/>
        <v>143.04</v>
      </c>
      <c r="N101" s="156">
        <f t="shared" si="11"/>
        <v>35182.570000000051</v>
      </c>
    </row>
    <row r="102" spans="3:14" x14ac:dyDescent="0.2">
      <c r="C102" s="123"/>
      <c r="D102" s="123"/>
      <c r="E102" s="123"/>
      <c r="F102" s="123"/>
      <c r="G102" s="123"/>
      <c r="L102" s="79">
        <f t="shared" si="9"/>
        <v>48.5</v>
      </c>
      <c r="M102" s="155">
        <f t="shared" si="10"/>
        <v>143.04</v>
      </c>
      <c r="N102" s="156">
        <f t="shared" si="11"/>
        <v>35325.610000000052</v>
      </c>
    </row>
    <row r="103" spans="3:14" x14ac:dyDescent="0.2">
      <c r="C103" s="123"/>
      <c r="D103" s="123"/>
      <c r="E103" s="123"/>
      <c r="F103" s="123"/>
      <c r="G103" s="123"/>
      <c r="L103" s="79">
        <f t="shared" si="9"/>
        <v>49</v>
      </c>
      <c r="M103" s="155">
        <f t="shared" ref="M103:M134" si="12">IF(L103&lt;25,M102-$J$38,$J$37)</f>
        <v>143.04</v>
      </c>
      <c r="N103" s="156">
        <f t="shared" si="11"/>
        <v>35468.650000000052</v>
      </c>
    </row>
    <row r="104" spans="3:14" x14ac:dyDescent="0.2">
      <c r="C104" s="123"/>
      <c r="D104" s="123"/>
      <c r="E104" s="123"/>
      <c r="F104" s="123"/>
      <c r="G104" s="123"/>
      <c r="L104" s="79">
        <f t="shared" si="9"/>
        <v>49.5</v>
      </c>
      <c r="M104" s="155">
        <f t="shared" si="12"/>
        <v>143.04</v>
      </c>
      <c r="N104" s="156">
        <f t="shared" si="11"/>
        <v>35611.690000000053</v>
      </c>
    </row>
    <row r="105" spans="3:14" x14ac:dyDescent="0.2">
      <c r="C105" s="123"/>
      <c r="D105" s="123"/>
      <c r="E105" s="123"/>
      <c r="F105" s="123"/>
      <c r="G105" s="123"/>
      <c r="L105" s="79">
        <f t="shared" si="9"/>
        <v>50</v>
      </c>
      <c r="M105" s="155">
        <f t="shared" si="12"/>
        <v>143.04</v>
      </c>
      <c r="N105" s="156">
        <f t="shared" si="11"/>
        <v>35754.730000000054</v>
      </c>
    </row>
    <row r="106" spans="3:14" x14ac:dyDescent="0.2">
      <c r="C106" s="123"/>
      <c r="D106" s="123"/>
      <c r="E106" s="123"/>
      <c r="F106" s="123"/>
      <c r="G106" s="123"/>
      <c r="L106" s="79">
        <f t="shared" si="9"/>
        <v>50.5</v>
      </c>
      <c r="M106" s="155">
        <f t="shared" si="12"/>
        <v>143.04</v>
      </c>
      <c r="N106" s="156">
        <f t="shared" si="11"/>
        <v>35897.770000000055</v>
      </c>
    </row>
    <row r="107" spans="3:14" x14ac:dyDescent="0.2">
      <c r="C107" s="123"/>
      <c r="D107" s="123"/>
      <c r="E107" s="123"/>
      <c r="F107" s="123"/>
      <c r="G107" s="123"/>
      <c r="L107" s="79">
        <f t="shared" si="9"/>
        <v>51</v>
      </c>
      <c r="M107" s="155">
        <f t="shared" si="12"/>
        <v>143.04</v>
      </c>
      <c r="N107" s="156">
        <f t="shared" si="11"/>
        <v>36040.810000000056</v>
      </c>
    </row>
    <row r="108" spans="3:14" x14ac:dyDescent="0.2">
      <c r="C108" s="123"/>
      <c r="D108" s="123"/>
      <c r="E108" s="123"/>
      <c r="F108" s="123"/>
      <c r="G108" s="123"/>
      <c r="L108" s="79">
        <f t="shared" si="9"/>
        <v>51.5</v>
      </c>
      <c r="M108" s="155">
        <f t="shared" si="12"/>
        <v>143.04</v>
      </c>
      <c r="N108" s="156">
        <f t="shared" si="11"/>
        <v>36183.850000000057</v>
      </c>
    </row>
    <row r="109" spans="3:14" x14ac:dyDescent="0.2">
      <c r="C109" s="123"/>
      <c r="D109" s="123"/>
      <c r="E109" s="123"/>
      <c r="F109" s="123"/>
      <c r="G109" s="123"/>
      <c r="L109" s="79">
        <f t="shared" si="9"/>
        <v>52</v>
      </c>
      <c r="M109" s="155">
        <f t="shared" si="12"/>
        <v>143.04</v>
      </c>
      <c r="N109" s="156">
        <f t="shared" si="11"/>
        <v>36326.890000000058</v>
      </c>
    </row>
    <row r="110" spans="3:14" x14ac:dyDescent="0.2">
      <c r="C110" s="123"/>
      <c r="D110" s="123"/>
      <c r="E110" s="123"/>
      <c r="F110" s="123"/>
      <c r="G110" s="123"/>
      <c r="L110" s="79">
        <f t="shared" si="9"/>
        <v>52.5</v>
      </c>
      <c r="M110" s="155">
        <f t="shared" si="12"/>
        <v>143.04</v>
      </c>
      <c r="N110" s="156">
        <f t="shared" si="11"/>
        <v>36469.930000000058</v>
      </c>
    </row>
    <row r="111" spans="3:14" x14ac:dyDescent="0.2">
      <c r="C111" s="123"/>
      <c r="D111" s="123"/>
      <c r="E111" s="123"/>
      <c r="F111" s="123"/>
      <c r="G111" s="123"/>
      <c r="L111" s="79">
        <f t="shared" si="9"/>
        <v>53</v>
      </c>
      <c r="M111" s="155">
        <f t="shared" si="12"/>
        <v>143.04</v>
      </c>
      <c r="N111" s="156">
        <f t="shared" si="11"/>
        <v>36612.970000000059</v>
      </c>
    </row>
    <row r="112" spans="3:14" x14ac:dyDescent="0.2">
      <c r="C112" s="123"/>
      <c r="D112" s="123"/>
      <c r="E112" s="123"/>
      <c r="F112" s="123"/>
      <c r="G112" s="123"/>
      <c r="L112" s="79">
        <f t="shared" si="9"/>
        <v>53.5</v>
      </c>
      <c r="M112" s="155">
        <f t="shared" si="12"/>
        <v>143.04</v>
      </c>
      <c r="N112" s="156">
        <f t="shared" si="11"/>
        <v>36756.01000000006</v>
      </c>
    </row>
    <row r="113" spans="3:14" x14ac:dyDescent="0.2">
      <c r="C113" s="123"/>
      <c r="D113" s="123"/>
      <c r="E113" s="123"/>
      <c r="F113" s="123"/>
      <c r="G113" s="123"/>
      <c r="L113" s="79">
        <f t="shared" si="9"/>
        <v>54</v>
      </c>
      <c r="M113" s="155">
        <f t="shared" si="12"/>
        <v>143.04</v>
      </c>
      <c r="N113" s="156">
        <f t="shared" si="11"/>
        <v>36899.050000000061</v>
      </c>
    </row>
    <row r="114" spans="3:14" x14ac:dyDescent="0.2">
      <c r="C114" s="123"/>
      <c r="D114" s="123"/>
      <c r="E114" s="123"/>
      <c r="F114" s="123"/>
      <c r="G114" s="123"/>
      <c r="L114" s="79">
        <f t="shared" si="9"/>
        <v>54.5</v>
      </c>
      <c r="M114" s="155">
        <f t="shared" si="12"/>
        <v>143.04</v>
      </c>
      <c r="N114" s="156">
        <f t="shared" si="11"/>
        <v>37042.090000000062</v>
      </c>
    </row>
    <row r="115" spans="3:14" x14ac:dyDescent="0.2">
      <c r="C115" s="123"/>
      <c r="D115" s="123"/>
      <c r="E115" s="123"/>
      <c r="F115" s="123"/>
      <c r="G115" s="123"/>
      <c r="L115" s="79">
        <f t="shared" si="9"/>
        <v>55</v>
      </c>
      <c r="M115" s="155">
        <f t="shared" si="12"/>
        <v>143.04</v>
      </c>
      <c r="N115" s="156">
        <f t="shared" si="11"/>
        <v>37185.130000000063</v>
      </c>
    </row>
    <row r="116" spans="3:14" x14ac:dyDescent="0.2">
      <c r="C116" s="123"/>
      <c r="D116" s="123"/>
      <c r="E116" s="123"/>
      <c r="F116" s="123"/>
      <c r="G116" s="123"/>
      <c r="L116" s="79">
        <f t="shared" si="9"/>
        <v>55.5</v>
      </c>
      <c r="M116" s="155">
        <f t="shared" si="12"/>
        <v>143.04</v>
      </c>
      <c r="N116" s="156">
        <f t="shared" si="11"/>
        <v>37328.170000000064</v>
      </c>
    </row>
    <row r="117" spans="3:14" x14ac:dyDescent="0.2">
      <c r="C117" s="123"/>
      <c r="D117" s="123"/>
      <c r="E117" s="123"/>
      <c r="F117" s="123"/>
      <c r="G117" s="123"/>
      <c r="L117" s="79">
        <f t="shared" si="9"/>
        <v>56</v>
      </c>
      <c r="M117" s="155">
        <f t="shared" si="12"/>
        <v>143.04</v>
      </c>
      <c r="N117" s="156">
        <f t="shared" si="11"/>
        <v>37471.210000000065</v>
      </c>
    </row>
    <row r="118" spans="3:14" x14ac:dyDescent="0.2">
      <c r="C118" s="123"/>
      <c r="D118" s="123"/>
      <c r="E118" s="123"/>
      <c r="F118" s="123"/>
      <c r="G118" s="123"/>
      <c r="L118" s="79">
        <f t="shared" si="9"/>
        <v>56.5</v>
      </c>
      <c r="M118" s="155">
        <f t="shared" si="12"/>
        <v>143.04</v>
      </c>
      <c r="N118" s="156">
        <f t="shared" si="11"/>
        <v>37614.250000000065</v>
      </c>
    </row>
    <row r="119" spans="3:14" x14ac:dyDescent="0.2">
      <c r="C119" s="123"/>
      <c r="D119" s="123"/>
      <c r="E119" s="123"/>
      <c r="F119" s="123"/>
      <c r="G119" s="123"/>
      <c r="L119" s="79">
        <f t="shared" si="9"/>
        <v>57</v>
      </c>
      <c r="M119" s="155">
        <f t="shared" si="12"/>
        <v>143.04</v>
      </c>
      <c r="N119" s="156">
        <f t="shared" si="11"/>
        <v>37757.290000000066</v>
      </c>
    </row>
    <row r="120" spans="3:14" x14ac:dyDescent="0.2">
      <c r="C120" s="123"/>
      <c r="D120" s="123"/>
      <c r="E120" s="123"/>
      <c r="F120" s="123"/>
      <c r="G120" s="123"/>
      <c r="L120" s="79">
        <f t="shared" si="9"/>
        <v>57.5</v>
      </c>
      <c r="M120" s="155">
        <f t="shared" si="12"/>
        <v>143.04</v>
      </c>
      <c r="N120" s="156">
        <f t="shared" si="11"/>
        <v>37900.330000000067</v>
      </c>
    </row>
    <row r="121" spans="3:14" x14ac:dyDescent="0.2">
      <c r="C121" s="123"/>
      <c r="D121" s="123"/>
      <c r="E121" s="123"/>
      <c r="F121" s="123"/>
      <c r="G121" s="123"/>
      <c r="L121" s="79">
        <f t="shared" si="9"/>
        <v>58</v>
      </c>
      <c r="M121" s="155">
        <f t="shared" si="12"/>
        <v>143.04</v>
      </c>
      <c r="N121" s="156">
        <f t="shared" si="11"/>
        <v>38043.370000000068</v>
      </c>
    </row>
    <row r="122" spans="3:14" x14ac:dyDescent="0.2">
      <c r="C122" s="123"/>
      <c r="D122" s="123"/>
      <c r="E122" s="123"/>
      <c r="F122" s="123"/>
      <c r="G122" s="123"/>
      <c r="L122" s="79">
        <f t="shared" si="9"/>
        <v>58.5</v>
      </c>
      <c r="M122" s="155">
        <f t="shared" si="12"/>
        <v>143.04</v>
      </c>
      <c r="N122" s="156">
        <f t="shared" si="11"/>
        <v>38186.410000000069</v>
      </c>
    </row>
    <row r="123" spans="3:14" x14ac:dyDescent="0.2">
      <c r="C123" s="123"/>
      <c r="D123" s="123"/>
      <c r="E123" s="123"/>
      <c r="F123" s="123"/>
      <c r="G123" s="123"/>
      <c r="L123" s="79">
        <f t="shared" si="9"/>
        <v>59</v>
      </c>
      <c r="M123" s="155">
        <f t="shared" si="12"/>
        <v>143.04</v>
      </c>
      <c r="N123" s="156">
        <f t="shared" si="11"/>
        <v>38329.45000000007</v>
      </c>
    </row>
    <row r="124" spans="3:14" x14ac:dyDescent="0.2">
      <c r="C124" s="123"/>
      <c r="D124" s="123"/>
      <c r="E124" s="123"/>
      <c r="F124" s="123"/>
      <c r="G124" s="123"/>
      <c r="L124" s="79">
        <f t="shared" si="9"/>
        <v>59.5</v>
      </c>
      <c r="M124" s="155">
        <f t="shared" si="12"/>
        <v>143.04</v>
      </c>
      <c r="N124" s="156">
        <f t="shared" si="11"/>
        <v>38472.490000000071</v>
      </c>
    </row>
    <row r="125" spans="3:14" x14ac:dyDescent="0.2">
      <c r="C125" s="123"/>
      <c r="D125" s="123"/>
      <c r="E125" s="123"/>
      <c r="F125" s="123"/>
      <c r="G125" s="123"/>
      <c r="L125" s="79">
        <f t="shared" si="9"/>
        <v>60</v>
      </c>
      <c r="M125" s="155">
        <f t="shared" si="12"/>
        <v>143.04</v>
      </c>
      <c r="N125" s="156">
        <f t="shared" si="11"/>
        <v>38615.530000000072</v>
      </c>
    </row>
    <row r="126" spans="3:14" x14ac:dyDescent="0.2">
      <c r="C126" s="123"/>
      <c r="D126" s="123"/>
      <c r="E126" s="123"/>
      <c r="F126" s="123"/>
      <c r="G126" s="123"/>
      <c r="L126" s="79">
        <f t="shared" si="9"/>
        <v>60.5</v>
      </c>
      <c r="M126" s="155">
        <f t="shared" si="12"/>
        <v>143.04</v>
      </c>
      <c r="N126" s="156">
        <f t="shared" si="11"/>
        <v>38758.570000000072</v>
      </c>
    </row>
    <row r="127" spans="3:14" x14ac:dyDescent="0.2">
      <c r="C127" s="123"/>
      <c r="D127" s="123"/>
      <c r="E127" s="123"/>
      <c r="F127" s="123"/>
      <c r="G127" s="123"/>
      <c r="L127" s="79">
        <f t="shared" si="9"/>
        <v>61</v>
      </c>
      <c r="M127" s="155">
        <f t="shared" si="12"/>
        <v>143.04</v>
      </c>
      <c r="N127" s="156">
        <f t="shared" si="11"/>
        <v>38901.610000000073</v>
      </c>
    </row>
    <row r="128" spans="3:14" x14ac:dyDescent="0.2">
      <c r="C128" s="123"/>
      <c r="D128" s="123"/>
      <c r="E128" s="123"/>
      <c r="F128" s="123"/>
      <c r="G128" s="123"/>
      <c r="L128" s="79">
        <f t="shared" si="9"/>
        <v>61.5</v>
      </c>
      <c r="M128" s="155">
        <f t="shared" si="12"/>
        <v>143.04</v>
      </c>
      <c r="N128" s="156">
        <f t="shared" si="11"/>
        <v>39044.650000000074</v>
      </c>
    </row>
    <row r="129" spans="3:14" x14ac:dyDescent="0.2">
      <c r="C129" s="123"/>
      <c r="D129" s="123"/>
      <c r="E129" s="123"/>
      <c r="F129" s="123"/>
      <c r="G129" s="123"/>
      <c r="L129" s="79">
        <f t="shared" si="9"/>
        <v>62</v>
      </c>
      <c r="M129" s="155">
        <f t="shared" si="12"/>
        <v>143.04</v>
      </c>
      <c r="N129" s="156">
        <f t="shared" si="11"/>
        <v>39187.690000000075</v>
      </c>
    </row>
    <row r="130" spans="3:14" x14ac:dyDescent="0.2">
      <c r="C130" s="123"/>
      <c r="D130" s="123"/>
      <c r="E130" s="123"/>
      <c r="F130" s="123"/>
      <c r="G130" s="123"/>
      <c r="L130" s="79">
        <f t="shared" si="9"/>
        <v>62.5</v>
      </c>
      <c r="M130" s="155">
        <f t="shared" si="12"/>
        <v>143.04</v>
      </c>
      <c r="N130" s="156">
        <f t="shared" si="11"/>
        <v>39330.730000000076</v>
      </c>
    </row>
    <row r="131" spans="3:14" x14ac:dyDescent="0.2">
      <c r="C131" s="123"/>
      <c r="D131" s="123"/>
      <c r="E131" s="123"/>
      <c r="F131" s="123"/>
      <c r="G131" s="123"/>
      <c r="L131" s="79">
        <f t="shared" si="9"/>
        <v>63</v>
      </c>
      <c r="M131" s="155">
        <f t="shared" si="12"/>
        <v>143.04</v>
      </c>
      <c r="N131" s="156">
        <f t="shared" si="11"/>
        <v>39473.770000000077</v>
      </c>
    </row>
    <row r="132" spans="3:14" x14ac:dyDescent="0.2">
      <c r="C132" s="123"/>
      <c r="D132" s="123"/>
      <c r="E132" s="123"/>
      <c r="F132" s="123"/>
      <c r="G132" s="123"/>
      <c r="L132" s="79">
        <f t="shared" si="9"/>
        <v>63.5</v>
      </c>
      <c r="M132" s="155">
        <f t="shared" si="12"/>
        <v>143.04</v>
      </c>
      <c r="N132" s="156">
        <f t="shared" si="11"/>
        <v>39616.810000000078</v>
      </c>
    </row>
    <row r="133" spans="3:14" x14ac:dyDescent="0.2">
      <c r="C133" s="123"/>
      <c r="D133" s="123"/>
      <c r="E133" s="123"/>
      <c r="F133" s="123"/>
      <c r="G133" s="123"/>
      <c r="L133" s="79">
        <f t="shared" si="9"/>
        <v>64</v>
      </c>
      <c r="M133" s="155">
        <f t="shared" si="12"/>
        <v>143.04</v>
      </c>
      <c r="N133" s="156">
        <f t="shared" si="11"/>
        <v>39759.850000000079</v>
      </c>
    </row>
    <row r="134" spans="3:14" x14ac:dyDescent="0.2">
      <c r="C134" s="123"/>
      <c r="D134" s="123"/>
      <c r="E134" s="123"/>
      <c r="F134" s="123"/>
      <c r="G134" s="123"/>
      <c r="L134" s="79">
        <f t="shared" si="9"/>
        <v>64.5</v>
      </c>
      <c r="M134" s="155">
        <f t="shared" si="12"/>
        <v>143.04</v>
      </c>
      <c r="N134" s="156">
        <f t="shared" si="11"/>
        <v>39902.890000000079</v>
      </c>
    </row>
    <row r="135" spans="3:14" x14ac:dyDescent="0.2">
      <c r="C135" s="123"/>
      <c r="D135" s="123"/>
      <c r="E135" s="123"/>
      <c r="F135" s="123"/>
      <c r="G135" s="123"/>
      <c r="L135" s="79">
        <f t="shared" ref="L135:L198" si="13">L134+0.5</f>
        <v>65</v>
      </c>
      <c r="M135" s="155">
        <f t="shared" ref="M135:M166" si="14">IF(L135&lt;25,M134-$J$38,$J$37)</f>
        <v>143.04</v>
      </c>
      <c r="N135" s="156">
        <f t="shared" si="11"/>
        <v>40045.93000000008</v>
      </c>
    </row>
    <row r="136" spans="3:14" x14ac:dyDescent="0.2">
      <c r="C136" s="123"/>
      <c r="D136" s="123"/>
      <c r="E136" s="123"/>
      <c r="F136" s="123"/>
      <c r="G136" s="123"/>
      <c r="L136" s="79">
        <f t="shared" si="13"/>
        <v>65.5</v>
      </c>
      <c r="M136" s="155">
        <f t="shared" si="14"/>
        <v>143.04</v>
      </c>
      <c r="N136" s="156">
        <f t="shared" ref="N136:N199" si="15">+M136+N135</f>
        <v>40188.970000000081</v>
      </c>
    </row>
    <row r="137" spans="3:14" x14ac:dyDescent="0.2">
      <c r="C137" s="123"/>
      <c r="D137" s="123"/>
      <c r="E137" s="123"/>
      <c r="F137" s="123"/>
      <c r="G137" s="123"/>
      <c r="L137" s="79">
        <f t="shared" si="13"/>
        <v>66</v>
      </c>
      <c r="M137" s="155">
        <f t="shared" si="14"/>
        <v>143.04</v>
      </c>
      <c r="N137" s="156">
        <f t="shared" si="15"/>
        <v>40332.010000000082</v>
      </c>
    </row>
    <row r="138" spans="3:14" x14ac:dyDescent="0.2">
      <c r="C138" s="123"/>
      <c r="D138" s="123"/>
      <c r="E138" s="123"/>
      <c r="F138" s="123"/>
      <c r="G138" s="123"/>
      <c r="L138" s="79">
        <f t="shared" si="13"/>
        <v>66.5</v>
      </c>
      <c r="M138" s="155">
        <f t="shared" si="14"/>
        <v>143.04</v>
      </c>
      <c r="N138" s="156">
        <f t="shared" si="15"/>
        <v>40475.050000000083</v>
      </c>
    </row>
    <row r="139" spans="3:14" x14ac:dyDescent="0.2">
      <c r="C139" s="123"/>
      <c r="D139" s="123"/>
      <c r="E139" s="123"/>
      <c r="F139" s="123"/>
      <c r="G139" s="123"/>
      <c r="L139" s="79">
        <f t="shared" si="13"/>
        <v>67</v>
      </c>
      <c r="M139" s="155">
        <f t="shared" si="14"/>
        <v>143.04</v>
      </c>
      <c r="N139" s="156">
        <f t="shared" si="15"/>
        <v>40618.090000000084</v>
      </c>
    </row>
    <row r="140" spans="3:14" x14ac:dyDescent="0.2">
      <c r="C140" s="123"/>
      <c r="D140" s="123"/>
      <c r="E140" s="123"/>
      <c r="F140" s="123"/>
      <c r="G140" s="123"/>
      <c r="L140" s="79">
        <f t="shared" si="13"/>
        <v>67.5</v>
      </c>
      <c r="M140" s="155">
        <f t="shared" si="14"/>
        <v>143.04</v>
      </c>
      <c r="N140" s="156">
        <f t="shared" si="15"/>
        <v>40761.130000000085</v>
      </c>
    </row>
    <row r="141" spans="3:14" x14ac:dyDescent="0.2">
      <c r="C141" s="123"/>
      <c r="D141" s="123"/>
      <c r="E141" s="123"/>
      <c r="F141" s="123"/>
      <c r="G141" s="123"/>
      <c r="L141" s="79">
        <f t="shared" si="13"/>
        <v>68</v>
      </c>
      <c r="M141" s="155">
        <f t="shared" si="14"/>
        <v>143.04</v>
      </c>
      <c r="N141" s="156">
        <f t="shared" si="15"/>
        <v>40904.170000000086</v>
      </c>
    </row>
    <row r="142" spans="3:14" x14ac:dyDescent="0.2">
      <c r="C142" s="123"/>
      <c r="D142" s="123"/>
      <c r="E142" s="123"/>
      <c r="F142" s="123"/>
      <c r="G142" s="123"/>
      <c r="L142" s="79">
        <f t="shared" si="13"/>
        <v>68.5</v>
      </c>
      <c r="M142" s="155">
        <f t="shared" si="14"/>
        <v>143.04</v>
      </c>
      <c r="N142" s="156">
        <f t="shared" si="15"/>
        <v>41047.210000000086</v>
      </c>
    </row>
    <row r="143" spans="3:14" x14ac:dyDescent="0.2">
      <c r="C143" s="123"/>
      <c r="D143" s="123"/>
      <c r="E143" s="123"/>
      <c r="F143" s="123"/>
      <c r="G143" s="123"/>
      <c r="L143" s="79">
        <f t="shared" si="13"/>
        <v>69</v>
      </c>
      <c r="M143" s="155">
        <f t="shared" si="14"/>
        <v>143.04</v>
      </c>
      <c r="N143" s="156">
        <f t="shared" si="15"/>
        <v>41190.250000000087</v>
      </c>
    </row>
    <row r="144" spans="3:14" x14ac:dyDescent="0.2">
      <c r="C144" s="123"/>
      <c r="D144" s="123"/>
      <c r="E144" s="123"/>
      <c r="F144" s="123"/>
      <c r="G144" s="123"/>
      <c r="L144" s="79">
        <f t="shared" si="13"/>
        <v>69.5</v>
      </c>
      <c r="M144" s="155">
        <f t="shared" si="14"/>
        <v>143.04</v>
      </c>
      <c r="N144" s="156">
        <f t="shared" si="15"/>
        <v>41333.290000000088</v>
      </c>
    </row>
    <row r="145" spans="3:14" x14ac:dyDescent="0.2">
      <c r="C145" s="123"/>
      <c r="D145" s="123"/>
      <c r="E145" s="123"/>
      <c r="F145" s="123"/>
      <c r="G145" s="123"/>
      <c r="L145" s="79">
        <f t="shared" si="13"/>
        <v>70</v>
      </c>
      <c r="M145" s="155">
        <f t="shared" si="14"/>
        <v>143.04</v>
      </c>
      <c r="N145" s="156">
        <f t="shared" si="15"/>
        <v>41476.330000000089</v>
      </c>
    </row>
    <row r="146" spans="3:14" x14ac:dyDescent="0.2">
      <c r="C146" s="123"/>
      <c r="D146" s="123"/>
      <c r="E146" s="123"/>
      <c r="F146" s="123"/>
      <c r="G146" s="123"/>
      <c r="L146" s="79">
        <f t="shared" si="13"/>
        <v>70.5</v>
      </c>
      <c r="M146" s="155">
        <f t="shared" si="14"/>
        <v>143.04</v>
      </c>
      <c r="N146" s="156">
        <f t="shared" si="15"/>
        <v>41619.37000000009</v>
      </c>
    </row>
    <row r="147" spans="3:14" x14ac:dyDescent="0.2">
      <c r="C147" s="123"/>
      <c r="D147" s="123"/>
      <c r="E147" s="123"/>
      <c r="F147" s="123"/>
      <c r="G147" s="123"/>
      <c r="L147" s="79">
        <f t="shared" si="13"/>
        <v>71</v>
      </c>
      <c r="M147" s="155">
        <f t="shared" si="14"/>
        <v>143.04</v>
      </c>
      <c r="N147" s="156">
        <f t="shared" si="15"/>
        <v>41762.410000000091</v>
      </c>
    </row>
    <row r="148" spans="3:14" x14ac:dyDescent="0.2">
      <c r="C148" s="123"/>
      <c r="D148" s="123"/>
      <c r="E148" s="123"/>
      <c r="F148" s="123"/>
      <c r="G148" s="123"/>
      <c r="L148" s="79">
        <f t="shared" si="13"/>
        <v>71.5</v>
      </c>
      <c r="M148" s="155">
        <f t="shared" si="14"/>
        <v>143.04</v>
      </c>
      <c r="N148" s="156">
        <f t="shared" si="15"/>
        <v>41905.450000000092</v>
      </c>
    </row>
    <row r="149" spans="3:14" x14ac:dyDescent="0.2">
      <c r="C149" s="123"/>
      <c r="D149" s="123"/>
      <c r="E149" s="123"/>
      <c r="F149" s="123"/>
      <c r="G149" s="123"/>
      <c r="L149" s="79">
        <f t="shared" si="13"/>
        <v>72</v>
      </c>
      <c r="M149" s="155">
        <f t="shared" si="14"/>
        <v>143.04</v>
      </c>
      <c r="N149" s="156">
        <f t="shared" si="15"/>
        <v>42048.490000000093</v>
      </c>
    </row>
    <row r="150" spans="3:14" x14ac:dyDescent="0.2">
      <c r="C150" s="123"/>
      <c r="D150" s="123"/>
      <c r="E150" s="123"/>
      <c r="F150" s="123"/>
      <c r="G150" s="123"/>
      <c r="L150" s="79">
        <f t="shared" si="13"/>
        <v>72.5</v>
      </c>
      <c r="M150" s="155">
        <f t="shared" si="14"/>
        <v>143.04</v>
      </c>
      <c r="N150" s="156">
        <f t="shared" si="15"/>
        <v>42191.530000000093</v>
      </c>
    </row>
    <row r="151" spans="3:14" x14ac:dyDescent="0.2">
      <c r="C151" s="123"/>
      <c r="D151" s="123"/>
      <c r="E151" s="123"/>
      <c r="F151" s="123"/>
      <c r="G151" s="123"/>
      <c r="L151" s="79">
        <f t="shared" si="13"/>
        <v>73</v>
      </c>
      <c r="M151" s="155">
        <f t="shared" si="14"/>
        <v>143.04</v>
      </c>
      <c r="N151" s="156">
        <f t="shared" si="15"/>
        <v>42334.570000000094</v>
      </c>
    </row>
    <row r="152" spans="3:14" x14ac:dyDescent="0.2">
      <c r="C152" s="123"/>
      <c r="D152" s="123"/>
      <c r="E152" s="123"/>
      <c r="F152" s="123"/>
      <c r="G152" s="123"/>
      <c r="L152" s="79">
        <f t="shared" si="13"/>
        <v>73.5</v>
      </c>
      <c r="M152" s="155">
        <f t="shared" si="14"/>
        <v>143.04</v>
      </c>
      <c r="N152" s="156">
        <f t="shared" si="15"/>
        <v>42477.610000000095</v>
      </c>
    </row>
    <row r="153" spans="3:14" x14ac:dyDescent="0.2">
      <c r="C153" s="123"/>
      <c r="D153" s="123"/>
      <c r="E153" s="123"/>
      <c r="F153" s="123"/>
      <c r="G153" s="123"/>
      <c r="L153" s="79">
        <f t="shared" si="13"/>
        <v>74</v>
      </c>
      <c r="M153" s="155">
        <f t="shared" si="14"/>
        <v>143.04</v>
      </c>
      <c r="N153" s="156">
        <f t="shared" si="15"/>
        <v>42620.650000000096</v>
      </c>
    </row>
    <row r="154" spans="3:14" x14ac:dyDescent="0.2">
      <c r="C154" s="123"/>
      <c r="D154" s="123"/>
      <c r="E154" s="123"/>
      <c r="F154" s="123"/>
      <c r="G154" s="123"/>
      <c r="L154" s="79">
        <f t="shared" si="13"/>
        <v>74.5</v>
      </c>
      <c r="M154" s="155">
        <f t="shared" si="14"/>
        <v>143.04</v>
      </c>
      <c r="N154" s="156">
        <f t="shared" si="15"/>
        <v>42763.690000000097</v>
      </c>
    </row>
    <row r="155" spans="3:14" x14ac:dyDescent="0.2">
      <c r="C155" s="123"/>
      <c r="D155" s="123"/>
      <c r="E155" s="123"/>
      <c r="F155" s="123"/>
      <c r="G155" s="123"/>
      <c r="L155" s="79">
        <f t="shared" si="13"/>
        <v>75</v>
      </c>
      <c r="M155" s="155">
        <f t="shared" si="14"/>
        <v>143.04</v>
      </c>
      <c r="N155" s="156">
        <f t="shared" si="15"/>
        <v>42906.730000000098</v>
      </c>
    </row>
    <row r="156" spans="3:14" x14ac:dyDescent="0.2">
      <c r="C156" s="123"/>
      <c r="D156" s="123"/>
      <c r="E156" s="123"/>
      <c r="F156" s="123"/>
      <c r="G156" s="123"/>
      <c r="L156" s="79">
        <f t="shared" si="13"/>
        <v>75.5</v>
      </c>
      <c r="M156" s="155">
        <f t="shared" si="14"/>
        <v>143.04</v>
      </c>
      <c r="N156" s="156">
        <f t="shared" si="15"/>
        <v>43049.770000000099</v>
      </c>
    </row>
    <row r="157" spans="3:14" x14ac:dyDescent="0.2">
      <c r="C157" s="123"/>
      <c r="D157" s="123"/>
      <c r="E157" s="123"/>
      <c r="F157" s="123"/>
      <c r="G157" s="123"/>
      <c r="L157" s="79">
        <f t="shared" si="13"/>
        <v>76</v>
      </c>
      <c r="M157" s="155">
        <f t="shared" si="14"/>
        <v>143.04</v>
      </c>
      <c r="N157" s="156">
        <f t="shared" si="15"/>
        <v>43192.8100000001</v>
      </c>
    </row>
    <row r="158" spans="3:14" x14ac:dyDescent="0.2">
      <c r="C158" s="123"/>
      <c r="D158" s="123"/>
      <c r="E158" s="123"/>
      <c r="F158" s="123"/>
      <c r="G158" s="123"/>
      <c r="L158" s="79">
        <f t="shared" si="13"/>
        <v>76.5</v>
      </c>
      <c r="M158" s="155">
        <f t="shared" si="14"/>
        <v>143.04</v>
      </c>
      <c r="N158" s="156">
        <f t="shared" si="15"/>
        <v>43335.8500000001</v>
      </c>
    </row>
    <row r="159" spans="3:14" x14ac:dyDescent="0.2">
      <c r="C159" s="123"/>
      <c r="D159" s="123"/>
      <c r="E159" s="123"/>
      <c r="F159" s="123"/>
      <c r="G159" s="123"/>
      <c r="L159" s="79">
        <f t="shared" si="13"/>
        <v>77</v>
      </c>
      <c r="M159" s="155">
        <f t="shared" si="14"/>
        <v>143.04</v>
      </c>
      <c r="N159" s="156">
        <f t="shared" si="15"/>
        <v>43478.890000000101</v>
      </c>
    </row>
    <row r="160" spans="3:14" x14ac:dyDescent="0.2">
      <c r="C160" s="123"/>
      <c r="D160" s="123"/>
      <c r="E160" s="123"/>
      <c r="F160" s="123"/>
      <c r="G160" s="123"/>
      <c r="L160" s="79">
        <f t="shared" si="13"/>
        <v>77.5</v>
      </c>
      <c r="M160" s="155">
        <f t="shared" si="14"/>
        <v>143.04</v>
      </c>
      <c r="N160" s="156">
        <f t="shared" si="15"/>
        <v>43621.930000000102</v>
      </c>
    </row>
    <row r="161" spans="3:14" x14ac:dyDescent="0.2">
      <c r="C161" s="123"/>
      <c r="D161" s="123"/>
      <c r="E161" s="123"/>
      <c r="F161" s="123"/>
      <c r="G161" s="123"/>
      <c r="L161" s="79">
        <f t="shared" si="13"/>
        <v>78</v>
      </c>
      <c r="M161" s="155">
        <f t="shared" si="14"/>
        <v>143.04</v>
      </c>
      <c r="N161" s="156">
        <f t="shared" si="15"/>
        <v>43764.970000000103</v>
      </c>
    </row>
    <row r="162" spans="3:14" x14ac:dyDescent="0.2">
      <c r="C162" s="123"/>
      <c r="D162" s="123"/>
      <c r="E162" s="123"/>
      <c r="F162" s="123"/>
      <c r="G162" s="123"/>
      <c r="L162" s="79">
        <f t="shared" si="13"/>
        <v>78.5</v>
      </c>
      <c r="M162" s="155">
        <f t="shared" si="14"/>
        <v>143.04</v>
      </c>
      <c r="N162" s="156">
        <f t="shared" si="15"/>
        <v>43908.010000000104</v>
      </c>
    </row>
    <row r="163" spans="3:14" x14ac:dyDescent="0.2">
      <c r="C163" s="123"/>
      <c r="D163" s="123"/>
      <c r="E163" s="123"/>
      <c r="F163" s="123"/>
      <c r="G163" s="123"/>
      <c r="L163" s="79">
        <f t="shared" si="13"/>
        <v>79</v>
      </c>
      <c r="M163" s="155">
        <f t="shared" si="14"/>
        <v>143.04</v>
      </c>
      <c r="N163" s="156">
        <f t="shared" si="15"/>
        <v>44051.050000000105</v>
      </c>
    </row>
    <row r="164" spans="3:14" x14ac:dyDescent="0.2">
      <c r="C164" s="123"/>
      <c r="D164" s="123"/>
      <c r="E164" s="123"/>
      <c r="F164" s="123"/>
      <c r="G164" s="123"/>
      <c r="L164" s="79">
        <f t="shared" si="13"/>
        <v>79.5</v>
      </c>
      <c r="M164" s="155">
        <f t="shared" si="14"/>
        <v>143.04</v>
      </c>
      <c r="N164" s="156">
        <f t="shared" si="15"/>
        <v>44194.090000000106</v>
      </c>
    </row>
    <row r="165" spans="3:14" x14ac:dyDescent="0.2">
      <c r="C165" s="123"/>
      <c r="D165" s="123"/>
      <c r="E165" s="123"/>
      <c r="F165" s="123"/>
      <c r="G165" s="123"/>
      <c r="L165" s="79">
        <f t="shared" si="13"/>
        <v>80</v>
      </c>
      <c r="M165" s="155">
        <f t="shared" si="14"/>
        <v>143.04</v>
      </c>
      <c r="N165" s="156">
        <f t="shared" si="15"/>
        <v>44337.130000000107</v>
      </c>
    </row>
    <row r="166" spans="3:14" x14ac:dyDescent="0.2">
      <c r="C166" s="123"/>
      <c r="D166" s="123"/>
      <c r="E166" s="123"/>
      <c r="F166" s="123"/>
      <c r="G166" s="123"/>
      <c r="L166" s="79">
        <f t="shared" si="13"/>
        <v>80.5</v>
      </c>
      <c r="M166" s="155">
        <f t="shared" si="14"/>
        <v>143.04</v>
      </c>
      <c r="N166" s="156">
        <f t="shared" si="15"/>
        <v>44480.170000000107</v>
      </c>
    </row>
    <row r="167" spans="3:14" x14ac:dyDescent="0.2">
      <c r="C167" s="123"/>
      <c r="D167" s="123"/>
      <c r="E167" s="123"/>
      <c r="F167" s="123"/>
      <c r="G167" s="123"/>
      <c r="L167" s="79">
        <f t="shared" si="13"/>
        <v>81</v>
      </c>
      <c r="M167" s="155">
        <f t="shared" ref="M167:M198" si="16">IF(L167&lt;25,M166-$J$38,$J$37)</f>
        <v>143.04</v>
      </c>
      <c r="N167" s="156">
        <f t="shared" si="15"/>
        <v>44623.210000000108</v>
      </c>
    </row>
    <row r="168" spans="3:14" x14ac:dyDescent="0.2">
      <c r="C168" s="123"/>
      <c r="D168" s="123"/>
      <c r="E168" s="123"/>
      <c r="F168" s="123"/>
      <c r="G168" s="123"/>
      <c r="L168" s="79">
        <f t="shared" si="13"/>
        <v>81.5</v>
      </c>
      <c r="M168" s="155">
        <f t="shared" si="16"/>
        <v>143.04</v>
      </c>
      <c r="N168" s="156">
        <f t="shared" si="15"/>
        <v>44766.250000000109</v>
      </c>
    </row>
    <row r="169" spans="3:14" x14ac:dyDescent="0.2">
      <c r="C169" s="123"/>
      <c r="D169" s="123"/>
      <c r="E169" s="123"/>
      <c r="F169" s="123"/>
      <c r="G169" s="123"/>
      <c r="L169" s="79">
        <f t="shared" si="13"/>
        <v>82</v>
      </c>
      <c r="M169" s="155">
        <f t="shared" si="16"/>
        <v>143.04</v>
      </c>
      <c r="N169" s="156">
        <f t="shared" si="15"/>
        <v>44909.29000000011</v>
      </c>
    </row>
    <row r="170" spans="3:14" x14ac:dyDescent="0.2">
      <c r="C170" s="123"/>
      <c r="D170" s="123"/>
      <c r="E170" s="123"/>
      <c r="F170" s="123"/>
      <c r="G170" s="123"/>
      <c r="L170" s="79">
        <f t="shared" si="13"/>
        <v>82.5</v>
      </c>
      <c r="M170" s="155">
        <f t="shared" si="16"/>
        <v>143.04</v>
      </c>
      <c r="N170" s="156">
        <f t="shared" si="15"/>
        <v>45052.330000000111</v>
      </c>
    </row>
    <row r="171" spans="3:14" x14ac:dyDescent="0.2">
      <c r="C171" s="123"/>
      <c r="D171" s="123"/>
      <c r="E171" s="123"/>
      <c r="F171" s="123"/>
      <c r="G171" s="123"/>
      <c r="L171" s="79">
        <f t="shared" si="13"/>
        <v>83</v>
      </c>
      <c r="M171" s="155">
        <f t="shared" si="16"/>
        <v>143.04</v>
      </c>
      <c r="N171" s="156">
        <f t="shared" si="15"/>
        <v>45195.370000000112</v>
      </c>
    </row>
    <row r="172" spans="3:14" x14ac:dyDescent="0.2">
      <c r="C172" s="123"/>
      <c r="D172" s="123"/>
      <c r="E172" s="123"/>
      <c r="F172" s="123"/>
      <c r="G172" s="123"/>
      <c r="L172" s="79">
        <f t="shared" si="13"/>
        <v>83.5</v>
      </c>
      <c r="M172" s="155">
        <f t="shared" si="16"/>
        <v>143.04</v>
      </c>
      <c r="N172" s="156">
        <f t="shared" si="15"/>
        <v>45338.410000000113</v>
      </c>
    </row>
    <row r="173" spans="3:14" x14ac:dyDescent="0.2">
      <c r="C173" s="123"/>
      <c r="D173" s="123"/>
      <c r="E173" s="123"/>
      <c r="F173" s="123"/>
      <c r="G173" s="123"/>
      <c r="L173" s="79">
        <f t="shared" si="13"/>
        <v>84</v>
      </c>
      <c r="M173" s="155">
        <f t="shared" si="16"/>
        <v>143.04</v>
      </c>
      <c r="N173" s="156">
        <f t="shared" si="15"/>
        <v>45481.450000000114</v>
      </c>
    </row>
    <row r="174" spans="3:14" x14ac:dyDescent="0.2">
      <c r="C174" s="123"/>
      <c r="D174" s="123"/>
      <c r="E174" s="123"/>
      <c r="F174" s="123"/>
      <c r="G174" s="123"/>
      <c r="L174" s="79">
        <f t="shared" si="13"/>
        <v>84.5</v>
      </c>
      <c r="M174" s="155">
        <f t="shared" si="16"/>
        <v>143.04</v>
      </c>
      <c r="N174" s="156">
        <f t="shared" si="15"/>
        <v>45624.490000000114</v>
      </c>
    </row>
    <row r="175" spans="3:14" x14ac:dyDescent="0.2">
      <c r="C175" s="123"/>
      <c r="D175" s="123"/>
      <c r="E175" s="123"/>
      <c r="F175" s="123"/>
      <c r="G175" s="123"/>
      <c r="L175" s="79">
        <f t="shared" si="13"/>
        <v>85</v>
      </c>
      <c r="M175" s="155">
        <f t="shared" si="16"/>
        <v>143.04</v>
      </c>
      <c r="N175" s="156">
        <f t="shared" si="15"/>
        <v>45767.530000000115</v>
      </c>
    </row>
    <row r="176" spans="3:14" x14ac:dyDescent="0.2">
      <c r="C176" s="123"/>
      <c r="D176" s="123"/>
      <c r="E176" s="123"/>
      <c r="F176" s="123"/>
      <c r="G176" s="123"/>
      <c r="L176" s="79">
        <f t="shared" si="13"/>
        <v>85.5</v>
      </c>
      <c r="M176" s="155">
        <f t="shared" si="16"/>
        <v>143.04</v>
      </c>
      <c r="N176" s="156">
        <f t="shared" si="15"/>
        <v>45910.570000000116</v>
      </c>
    </row>
    <row r="177" spans="3:14" x14ac:dyDescent="0.2">
      <c r="C177" s="123"/>
      <c r="D177" s="123"/>
      <c r="E177" s="123"/>
      <c r="F177" s="123"/>
      <c r="G177" s="123"/>
      <c r="L177" s="79">
        <f t="shared" si="13"/>
        <v>86</v>
      </c>
      <c r="M177" s="155">
        <f t="shared" si="16"/>
        <v>143.04</v>
      </c>
      <c r="N177" s="156">
        <f t="shared" si="15"/>
        <v>46053.610000000117</v>
      </c>
    </row>
    <row r="178" spans="3:14" x14ac:dyDescent="0.2">
      <c r="C178" s="123"/>
      <c r="D178" s="123"/>
      <c r="E178" s="123"/>
      <c r="F178" s="123"/>
      <c r="G178" s="123"/>
      <c r="L178" s="79">
        <f t="shared" si="13"/>
        <v>86.5</v>
      </c>
      <c r="M178" s="155">
        <f t="shared" si="16"/>
        <v>143.04</v>
      </c>
      <c r="N178" s="156">
        <f t="shared" si="15"/>
        <v>46196.650000000118</v>
      </c>
    </row>
    <row r="179" spans="3:14" x14ac:dyDescent="0.2">
      <c r="C179" s="123"/>
      <c r="D179" s="123"/>
      <c r="E179" s="123"/>
      <c r="F179" s="123"/>
      <c r="G179" s="123"/>
      <c r="L179" s="79">
        <f t="shared" si="13"/>
        <v>87</v>
      </c>
      <c r="M179" s="155">
        <f t="shared" si="16"/>
        <v>143.04</v>
      </c>
      <c r="N179" s="156">
        <f t="shared" si="15"/>
        <v>46339.690000000119</v>
      </c>
    </row>
    <row r="180" spans="3:14" x14ac:dyDescent="0.2">
      <c r="C180" s="123"/>
      <c r="D180" s="123"/>
      <c r="E180" s="123"/>
      <c r="F180" s="123"/>
      <c r="G180" s="123"/>
      <c r="L180" s="79">
        <f t="shared" si="13"/>
        <v>87.5</v>
      </c>
      <c r="M180" s="155">
        <f t="shared" si="16"/>
        <v>143.04</v>
      </c>
      <c r="N180" s="156">
        <f t="shared" si="15"/>
        <v>46482.73000000012</v>
      </c>
    </row>
    <row r="181" spans="3:14" x14ac:dyDescent="0.2">
      <c r="C181" s="123"/>
      <c r="D181" s="123"/>
      <c r="E181" s="123"/>
      <c r="F181" s="123"/>
      <c r="G181" s="123"/>
      <c r="L181" s="79">
        <f t="shared" si="13"/>
        <v>88</v>
      </c>
      <c r="M181" s="155">
        <f t="shared" si="16"/>
        <v>143.04</v>
      </c>
      <c r="N181" s="156">
        <f t="shared" si="15"/>
        <v>46625.77000000012</v>
      </c>
    </row>
    <row r="182" spans="3:14" x14ac:dyDescent="0.2">
      <c r="C182" s="123"/>
      <c r="D182" s="123"/>
      <c r="E182" s="123"/>
      <c r="F182" s="123"/>
      <c r="G182" s="123"/>
      <c r="L182" s="79">
        <f t="shared" si="13"/>
        <v>88.5</v>
      </c>
      <c r="M182" s="155">
        <f t="shared" si="16"/>
        <v>143.04</v>
      </c>
      <c r="N182" s="156">
        <f t="shared" si="15"/>
        <v>46768.810000000121</v>
      </c>
    </row>
    <row r="183" spans="3:14" x14ac:dyDescent="0.2">
      <c r="C183" s="123"/>
      <c r="D183" s="123"/>
      <c r="E183" s="123"/>
      <c r="F183" s="123"/>
      <c r="G183" s="123"/>
      <c r="L183" s="79">
        <f t="shared" si="13"/>
        <v>89</v>
      </c>
      <c r="M183" s="155">
        <f t="shared" si="16"/>
        <v>143.04</v>
      </c>
      <c r="N183" s="156">
        <f t="shared" si="15"/>
        <v>46911.850000000122</v>
      </c>
    </row>
    <row r="184" spans="3:14" x14ac:dyDescent="0.2">
      <c r="C184" s="123"/>
      <c r="D184" s="123"/>
      <c r="E184" s="123"/>
      <c r="F184" s="123"/>
      <c r="G184" s="123"/>
      <c r="L184" s="79">
        <f t="shared" si="13"/>
        <v>89.5</v>
      </c>
      <c r="M184" s="155">
        <f t="shared" si="16"/>
        <v>143.04</v>
      </c>
      <c r="N184" s="156">
        <f t="shared" si="15"/>
        <v>47054.890000000123</v>
      </c>
    </row>
    <row r="185" spans="3:14" x14ac:dyDescent="0.2">
      <c r="C185" s="123"/>
      <c r="D185" s="123"/>
      <c r="E185" s="123"/>
      <c r="F185" s="123"/>
      <c r="G185" s="123"/>
      <c r="L185" s="79">
        <f t="shared" si="13"/>
        <v>90</v>
      </c>
      <c r="M185" s="155">
        <f t="shared" si="16"/>
        <v>143.04</v>
      </c>
      <c r="N185" s="156">
        <f t="shared" si="15"/>
        <v>47197.930000000124</v>
      </c>
    </row>
    <row r="186" spans="3:14" x14ac:dyDescent="0.2">
      <c r="C186" s="123"/>
      <c r="D186" s="123"/>
      <c r="E186" s="123"/>
      <c r="F186" s="123"/>
      <c r="G186" s="123"/>
      <c r="L186" s="79">
        <f t="shared" si="13"/>
        <v>90.5</v>
      </c>
      <c r="M186" s="155">
        <f t="shared" si="16"/>
        <v>143.04</v>
      </c>
      <c r="N186" s="156">
        <f t="shared" si="15"/>
        <v>47340.970000000125</v>
      </c>
    </row>
    <row r="187" spans="3:14" x14ac:dyDescent="0.2">
      <c r="C187" s="123"/>
      <c r="D187" s="123"/>
      <c r="E187" s="123"/>
      <c r="F187" s="123"/>
      <c r="G187" s="123"/>
      <c r="L187" s="79">
        <f t="shared" si="13"/>
        <v>91</v>
      </c>
      <c r="M187" s="155">
        <f t="shared" si="16"/>
        <v>143.04</v>
      </c>
      <c r="N187" s="156">
        <f t="shared" si="15"/>
        <v>47484.010000000126</v>
      </c>
    </row>
    <row r="188" spans="3:14" x14ac:dyDescent="0.2">
      <c r="C188" s="123"/>
      <c r="D188" s="123"/>
      <c r="E188" s="123"/>
      <c r="F188" s="123"/>
      <c r="G188" s="123"/>
      <c r="L188" s="79">
        <f t="shared" si="13"/>
        <v>91.5</v>
      </c>
      <c r="M188" s="155">
        <f t="shared" si="16"/>
        <v>143.04</v>
      </c>
      <c r="N188" s="156">
        <f t="shared" si="15"/>
        <v>47627.050000000127</v>
      </c>
    </row>
    <row r="189" spans="3:14" x14ac:dyDescent="0.2">
      <c r="C189" s="123"/>
      <c r="D189" s="123"/>
      <c r="E189" s="123"/>
      <c r="F189" s="123"/>
      <c r="G189" s="123"/>
      <c r="L189" s="79">
        <f t="shared" si="13"/>
        <v>92</v>
      </c>
      <c r="M189" s="155">
        <f t="shared" si="16"/>
        <v>143.04</v>
      </c>
      <c r="N189" s="156">
        <f t="shared" si="15"/>
        <v>47770.090000000127</v>
      </c>
    </row>
    <row r="190" spans="3:14" x14ac:dyDescent="0.2">
      <c r="C190" s="123"/>
      <c r="D190" s="123"/>
      <c r="E190" s="123"/>
      <c r="F190" s="123"/>
      <c r="G190" s="123"/>
      <c r="L190" s="79">
        <f t="shared" si="13"/>
        <v>92.5</v>
      </c>
      <c r="M190" s="155">
        <f t="shared" si="16"/>
        <v>143.04</v>
      </c>
      <c r="N190" s="156">
        <f t="shared" si="15"/>
        <v>47913.130000000128</v>
      </c>
    </row>
    <row r="191" spans="3:14" x14ac:dyDescent="0.2">
      <c r="C191" s="123"/>
      <c r="D191" s="123"/>
      <c r="E191" s="123"/>
      <c r="F191" s="123"/>
      <c r="G191" s="123"/>
      <c r="L191" s="79">
        <f t="shared" si="13"/>
        <v>93</v>
      </c>
      <c r="M191" s="155">
        <f t="shared" si="16"/>
        <v>143.04</v>
      </c>
      <c r="N191" s="156">
        <f t="shared" si="15"/>
        <v>48056.170000000129</v>
      </c>
    </row>
    <row r="192" spans="3:14" x14ac:dyDescent="0.2">
      <c r="C192" s="123"/>
      <c r="D192" s="123"/>
      <c r="E192" s="123"/>
      <c r="F192" s="123"/>
      <c r="G192" s="123"/>
      <c r="L192" s="79">
        <f t="shared" si="13"/>
        <v>93.5</v>
      </c>
      <c r="M192" s="155">
        <f t="shared" si="16"/>
        <v>143.04</v>
      </c>
      <c r="N192" s="156">
        <f t="shared" si="15"/>
        <v>48199.21000000013</v>
      </c>
    </row>
    <row r="193" spans="3:15" x14ac:dyDescent="0.2">
      <c r="C193" s="123"/>
      <c r="D193" s="123"/>
      <c r="E193" s="123"/>
      <c r="F193" s="123"/>
      <c r="G193" s="123"/>
      <c r="L193" s="79">
        <f t="shared" si="13"/>
        <v>94</v>
      </c>
      <c r="M193" s="155">
        <f t="shared" si="16"/>
        <v>143.04</v>
      </c>
      <c r="N193" s="156">
        <f t="shared" si="15"/>
        <v>48342.250000000131</v>
      </c>
    </row>
    <row r="194" spans="3:15" x14ac:dyDescent="0.2">
      <c r="C194" s="123"/>
      <c r="D194" s="123"/>
      <c r="E194" s="123"/>
      <c r="F194" s="123"/>
      <c r="G194" s="123"/>
      <c r="L194" s="79">
        <f t="shared" si="13"/>
        <v>94.5</v>
      </c>
      <c r="M194" s="155">
        <f t="shared" si="16"/>
        <v>143.04</v>
      </c>
      <c r="N194" s="156">
        <f t="shared" si="15"/>
        <v>48485.290000000132</v>
      </c>
    </row>
    <row r="195" spans="3:15" x14ac:dyDescent="0.2">
      <c r="C195" s="123"/>
      <c r="D195" s="123"/>
      <c r="E195" s="123"/>
      <c r="F195" s="123"/>
      <c r="G195" s="123"/>
      <c r="L195" s="79">
        <f t="shared" si="13"/>
        <v>95</v>
      </c>
      <c r="M195" s="155">
        <f t="shared" si="16"/>
        <v>143.04</v>
      </c>
      <c r="N195" s="156">
        <f t="shared" si="15"/>
        <v>48628.330000000133</v>
      </c>
    </row>
    <row r="196" spans="3:15" x14ac:dyDescent="0.2">
      <c r="C196" s="123"/>
      <c r="D196" s="123"/>
      <c r="E196" s="123"/>
      <c r="F196" s="123"/>
      <c r="G196" s="123"/>
      <c r="L196" s="79">
        <f t="shared" si="13"/>
        <v>95.5</v>
      </c>
      <c r="M196" s="155">
        <f t="shared" si="16"/>
        <v>143.04</v>
      </c>
      <c r="N196" s="156">
        <f t="shared" si="15"/>
        <v>48771.370000000134</v>
      </c>
    </row>
    <row r="197" spans="3:15" x14ac:dyDescent="0.2">
      <c r="C197" s="123"/>
      <c r="D197" s="123"/>
      <c r="E197" s="123"/>
      <c r="F197" s="123"/>
      <c r="G197" s="123"/>
      <c r="L197" s="79">
        <f t="shared" si="13"/>
        <v>96</v>
      </c>
      <c r="M197" s="155">
        <f t="shared" si="16"/>
        <v>143.04</v>
      </c>
      <c r="N197" s="156">
        <f t="shared" si="15"/>
        <v>48914.410000000134</v>
      </c>
    </row>
    <row r="198" spans="3:15" x14ac:dyDescent="0.2">
      <c r="C198" s="123"/>
      <c r="D198" s="123"/>
      <c r="E198" s="123"/>
      <c r="F198" s="123"/>
      <c r="G198" s="123"/>
      <c r="L198" s="79">
        <f t="shared" si="13"/>
        <v>96.5</v>
      </c>
      <c r="M198" s="155">
        <f t="shared" si="16"/>
        <v>143.04</v>
      </c>
      <c r="N198" s="156">
        <f t="shared" si="15"/>
        <v>49057.450000000135</v>
      </c>
    </row>
    <row r="199" spans="3:15" x14ac:dyDescent="0.2">
      <c r="C199" s="123"/>
      <c r="D199" s="123"/>
      <c r="E199" s="123"/>
      <c r="F199" s="123"/>
      <c r="G199" s="123"/>
      <c r="L199" s="79">
        <f t="shared" ref="L199:L205" si="17">L198+0.5</f>
        <v>97</v>
      </c>
      <c r="M199" s="155">
        <f t="shared" ref="M199:M205" si="18">IF(L199&lt;25,M198-$J$38,$J$37)</f>
        <v>143.04</v>
      </c>
      <c r="N199" s="156">
        <f t="shared" si="15"/>
        <v>49200.490000000136</v>
      </c>
    </row>
    <row r="200" spans="3:15" x14ac:dyDescent="0.2">
      <c r="C200" s="123"/>
      <c r="D200" s="123"/>
      <c r="E200" s="123"/>
      <c r="F200" s="123"/>
      <c r="G200" s="123"/>
      <c r="L200" s="79">
        <f t="shared" si="17"/>
        <v>97.5</v>
      </c>
      <c r="M200" s="155">
        <f t="shared" si="18"/>
        <v>143.04</v>
      </c>
      <c r="N200" s="156">
        <f t="shared" ref="N200:N205" si="19">+M200+N199</f>
        <v>49343.530000000137</v>
      </c>
    </row>
    <row r="201" spans="3:15" x14ac:dyDescent="0.2">
      <c r="C201" s="123"/>
      <c r="D201" s="123"/>
      <c r="E201" s="123"/>
      <c r="F201" s="123"/>
      <c r="G201" s="123"/>
      <c r="L201" s="79">
        <f t="shared" si="17"/>
        <v>98</v>
      </c>
      <c r="M201" s="155">
        <f t="shared" si="18"/>
        <v>143.04</v>
      </c>
      <c r="N201" s="156">
        <f t="shared" si="19"/>
        <v>49486.570000000138</v>
      </c>
    </row>
    <row r="202" spans="3:15" x14ac:dyDescent="0.2">
      <c r="C202" s="123"/>
      <c r="D202" s="123"/>
      <c r="E202" s="123"/>
      <c r="F202" s="123"/>
      <c r="G202" s="123"/>
      <c r="L202" s="79">
        <f t="shared" si="17"/>
        <v>98.5</v>
      </c>
      <c r="M202" s="155">
        <f t="shared" si="18"/>
        <v>143.04</v>
      </c>
      <c r="N202" s="156">
        <f t="shared" si="19"/>
        <v>49629.610000000139</v>
      </c>
    </row>
    <row r="203" spans="3:15" x14ac:dyDescent="0.2">
      <c r="L203" s="79">
        <f t="shared" si="17"/>
        <v>99</v>
      </c>
      <c r="M203" s="155">
        <f t="shared" si="18"/>
        <v>143.04</v>
      </c>
      <c r="N203" s="156">
        <f t="shared" si="19"/>
        <v>49772.65000000014</v>
      </c>
    </row>
    <row r="204" spans="3:15" x14ac:dyDescent="0.2">
      <c r="L204" s="79">
        <f t="shared" si="17"/>
        <v>99.5</v>
      </c>
      <c r="M204" s="155">
        <f t="shared" si="18"/>
        <v>143.04</v>
      </c>
      <c r="N204" s="156">
        <f t="shared" si="19"/>
        <v>49915.690000000141</v>
      </c>
    </row>
    <row r="205" spans="3:15" ht="16" thickBot="1" x14ac:dyDescent="0.25">
      <c r="L205" s="80">
        <f t="shared" si="17"/>
        <v>100</v>
      </c>
      <c r="M205" s="157">
        <f t="shared" si="18"/>
        <v>143.04</v>
      </c>
      <c r="N205" s="158">
        <f t="shared" si="19"/>
        <v>50058.730000000141</v>
      </c>
    </row>
    <row r="207" spans="3:15" x14ac:dyDescent="0.2">
      <c r="L207"/>
      <c r="M207"/>
      <c r="N207"/>
      <c r="O207"/>
    </row>
    <row r="208" spans="3:15" x14ac:dyDescent="0.2">
      <c r="L208"/>
      <c r="M208"/>
      <c r="N208"/>
      <c r="O208"/>
    </row>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sheetData>
  <mergeCells count="11">
    <mergeCell ref="B50:E50"/>
    <mergeCell ref="B28:F31"/>
    <mergeCell ref="B4:B5"/>
    <mergeCell ref="B2:Y2"/>
    <mergeCell ref="S4:Y4"/>
    <mergeCell ref="S5:Y20"/>
    <mergeCell ref="D4:D5"/>
    <mergeCell ref="E4:F4"/>
    <mergeCell ref="C4:C5"/>
    <mergeCell ref="I28:I29"/>
    <mergeCell ref="D26:F26"/>
  </mergeCells>
  <hyperlinks>
    <hyperlink ref="C34" r:id="rId1" xr:uid="{00000000-0004-0000-0200-000000000000}"/>
    <hyperlink ref="B32" r:id="rId2" xr:uid="{00000000-0004-0000-0200-000001000000}"/>
    <hyperlink ref="C49" r:id="rId3" xr:uid="{00000000-0004-0000-0200-000002000000}"/>
  </hyperlinks>
  <pageMargins left="0.7" right="0.7" top="0.75" bottom="0.75" header="0.3" footer="0.3"/>
  <pageSetup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Ministry Leader</vt:lpstr>
      <vt:lpstr>Payroll + W-2</vt:lpstr>
      <vt:lpstr>Reference Values</vt:lpstr>
      <vt:lpstr>'Ministry Leader'!Print_Area</vt:lpstr>
      <vt:lpstr>'Payroll + W-2'!Print_Area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 States Synod ELCA</dc:creator>
  <cp:lastModifiedBy>Microsoft Office User</cp:lastModifiedBy>
  <cp:lastPrinted>2023-03-31T00:16:01Z</cp:lastPrinted>
  <dcterms:created xsi:type="dcterms:W3CDTF">2020-01-17T22:42:34Z</dcterms:created>
  <dcterms:modified xsi:type="dcterms:W3CDTF">2023-06-06T16:54:02Z</dcterms:modified>
</cp:coreProperties>
</file>